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richa\Dropbox\Documents\Home\"/>
    </mc:Choice>
  </mc:AlternateContent>
  <xr:revisionPtr revIDLastSave="0" documentId="13_ncr:1_{5AA5AFE7-A5CD-47BA-A3CB-95FEA84BC646}" xr6:coauthVersionLast="40" xr6:coauthVersionMax="40" xr10:uidLastSave="{00000000-0000-0000-0000-000000000000}"/>
  <bookViews>
    <workbookView xWindow="-120" yWindow="-120" windowWidth="27870" windowHeight="18240" xr2:uid="{00000000-000D-0000-FFFF-FFFF00000000}"/>
  </bookViews>
  <sheets>
    <sheet name="Scores" sheetId="1" r:id="rId1"/>
    <sheet name="Statistics" sheetId="3" r:id="rId2"/>
    <sheet name="Trends" sheetId="4" r:id="rId3"/>
    <sheet name="Sheet1" sheetId="5" r:id="rId4"/>
  </sheets>
  <definedNames>
    <definedName name="CUP">Scores!$B$40:$B$41</definedName>
    <definedName name="LIST">Scores!$A$40:$A$41</definedName>
    <definedName name="_xlnm.Print_Titles" localSheetId="0">Scores!$A:$A</definedName>
  </definedNames>
  <calcPr calcId="191028"/>
  <webPublishObjects count="1">
    <webPublishObject id="30817" divId="NewInnA_30817" destinationFile="C:\Users\Richard\Dropbox\Documents\Home\NewInnA.htm" autoRepublish="1"/>
  </webPublishObjec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36" i="1" l="1"/>
  <c r="K29" i="5"/>
  <c r="I25" i="5"/>
  <c r="I28" i="5" s="1"/>
  <c r="H25" i="5"/>
  <c r="H28" i="5" s="1"/>
  <c r="G25" i="5"/>
  <c r="F25" i="5"/>
  <c r="E25" i="5"/>
  <c r="E28" i="5" s="1"/>
  <c r="D25" i="5"/>
  <c r="D28" i="5" s="1"/>
  <c r="K28" i="5" s="1"/>
  <c r="F28" i="5"/>
  <c r="G28" i="5"/>
  <c r="K24" i="5"/>
  <c r="K23" i="5"/>
  <c r="K22" i="5"/>
  <c r="K21" i="5"/>
  <c r="K20" i="5"/>
  <c r="K19" i="5"/>
  <c r="K18" i="5"/>
  <c r="K17" i="5"/>
  <c r="BH32" i="1"/>
  <c r="BE32" i="1"/>
  <c r="BB32" i="1"/>
  <c r="AV32" i="1"/>
  <c r="K25" i="5" l="1"/>
  <c r="BI36" i="1"/>
  <c r="E13" i="5"/>
  <c r="F13" i="5"/>
  <c r="G13" i="5"/>
  <c r="H13" i="5"/>
  <c r="I13" i="5"/>
  <c r="D13" i="5"/>
  <c r="K6" i="5"/>
  <c r="K7" i="5"/>
  <c r="K8" i="5"/>
  <c r="K9" i="5"/>
  <c r="K10" i="5"/>
  <c r="K11" i="5"/>
  <c r="K12" i="5"/>
  <c r="K5" i="5"/>
  <c r="K13" i="5" l="1"/>
  <c r="M32" i="5" s="1"/>
  <c r="BF36" i="1"/>
  <c r="BC36" i="1"/>
  <c r="BC33" i="1"/>
  <c r="BC32" i="1"/>
  <c r="BB20" i="1"/>
  <c r="BA32" i="1"/>
  <c r="BB25" i="1"/>
  <c r="BB22" i="1"/>
  <c r="BB21" i="1"/>
  <c r="BB17" i="1"/>
  <c r="BB16" i="1"/>
  <c r="BB15" i="1"/>
  <c r="BB14" i="1"/>
  <c r="BB13" i="1"/>
  <c r="BB11" i="1"/>
  <c r="BB19" i="1"/>
  <c r="BB18" i="1"/>
  <c r="BB12" i="1"/>
  <c r="BF33" i="1"/>
  <c r="BF32" i="1"/>
  <c r="BF38" i="1"/>
  <c r="BD32" i="1"/>
  <c r="A17" i="4"/>
  <c r="A16" i="4"/>
  <c r="A15" i="4"/>
  <c r="AW36" i="1"/>
  <c r="AT36" i="1"/>
  <c r="BF37" i="1"/>
  <c r="BE22" i="1"/>
  <c r="BE14" i="1"/>
  <c r="BE15" i="1"/>
  <c r="BE25" i="1"/>
  <c r="BE16" i="1"/>
  <c r="BE17" i="1"/>
  <c r="BE19" i="1"/>
  <c r="BE18" i="1"/>
  <c r="BE11" i="1"/>
  <c r="BE12" i="1"/>
  <c r="BE20" i="1"/>
  <c r="BE13" i="1"/>
  <c r="BE21" i="1"/>
  <c r="AQ36" i="1"/>
  <c r="AN36" i="1"/>
  <c r="AN37" i="1"/>
  <c r="AA27" i="3"/>
  <c r="U27" i="3"/>
  <c r="AA26" i="3"/>
  <c r="U26" i="3"/>
  <c r="AK36" i="1"/>
  <c r="AB36" i="1"/>
  <c r="AB37" i="1"/>
  <c r="AB33" i="1"/>
  <c r="AB32" i="1"/>
  <c r="AA22" i="1"/>
  <c r="Z32" i="1"/>
  <c r="AA16" i="1"/>
  <c r="AA15" i="1"/>
  <c r="AA12" i="1"/>
  <c r="AA21" i="1"/>
  <c r="AA32" i="1"/>
  <c r="Y36" i="1"/>
  <c r="S36" i="1"/>
  <c r="S37" i="1"/>
  <c r="S32" i="1"/>
  <c r="R32" i="1"/>
  <c r="P36" i="1"/>
  <c r="P19" i="1"/>
  <c r="P32" i="1"/>
  <c r="J36" i="1"/>
  <c r="J32" i="1"/>
  <c r="I12" i="1"/>
  <c r="A14" i="4"/>
  <c r="G36" i="1"/>
  <c r="BX33" i="1"/>
  <c r="BU33" i="1"/>
  <c r="D36" i="1"/>
  <c r="D37" i="1"/>
  <c r="D32" i="1"/>
  <c r="C11" i="1"/>
  <c r="A21" i="3"/>
  <c r="BR33" i="1"/>
  <c r="BO33" i="1"/>
  <c r="BL33" i="1"/>
  <c r="BI33" i="1"/>
  <c r="AZ33" i="1"/>
  <c r="AW33" i="1"/>
  <c r="AT33" i="1"/>
  <c r="AQ33" i="1"/>
  <c r="AN33" i="1"/>
  <c r="AK33" i="1"/>
  <c r="AH33" i="1"/>
  <c r="AE33" i="1"/>
  <c r="Y33" i="1"/>
  <c r="V33" i="1"/>
  <c r="J33" i="1"/>
  <c r="G33" i="1"/>
  <c r="D33" i="1"/>
  <c r="BC37" i="1"/>
  <c r="G32" i="1"/>
  <c r="F12" i="1"/>
  <c r="M32" i="1"/>
  <c r="L12" i="1"/>
  <c r="V32" i="1"/>
  <c r="U12" i="1"/>
  <c r="Y32" i="1"/>
  <c r="X12" i="1"/>
  <c r="AE32" i="1"/>
  <c r="AD12" i="1"/>
  <c r="AH32" i="1"/>
  <c r="AG12" i="1"/>
  <c r="AK32" i="1"/>
  <c r="AJ12" i="1"/>
  <c r="AN32" i="1"/>
  <c r="AM13" i="1"/>
  <c r="AQ32" i="1"/>
  <c r="AP18" i="1"/>
  <c r="AW32" i="1"/>
  <c r="AV12" i="1"/>
  <c r="AZ32" i="1"/>
  <c r="AY12" i="1"/>
  <c r="BI32" i="1"/>
  <c r="BH16" i="1"/>
  <c r="BL32" i="1"/>
  <c r="BK14" i="1"/>
  <c r="AT32" i="1"/>
  <c r="AS17" i="1"/>
  <c r="BR32" i="1"/>
  <c r="BQ12" i="1"/>
  <c r="BQ13" i="1"/>
  <c r="BO32" i="1"/>
  <c r="BN12" i="1"/>
  <c r="BU32" i="1"/>
  <c r="BT15" i="1"/>
  <c r="BT12" i="1"/>
  <c r="BX32" i="1"/>
  <c r="BW25" i="1"/>
  <c r="CA32" i="1"/>
  <c r="BZ12" i="1"/>
  <c r="I14" i="1"/>
  <c r="AD14" i="1"/>
  <c r="AD15" i="1"/>
  <c r="AY15" i="1"/>
  <c r="AD16" i="1"/>
  <c r="BW16" i="1"/>
  <c r="AD17" i="1"/>
  <c r="BH17" i="1"/>
  <c r="BT17" i="1"/>
  <c r="BH18" i="1"/>
  <c r="BN18" i="1"/>
  <c r="AD20" i="1"/>
  <c r="AY20" i="1"/>
  <c r="BZ21" i="1"/>
  <c r="AD22" i="1"/>
  <c r="BH22" i="1"/>
  <c r="AD25" i="1"/>
  <c r="BT25" i="1"/>
  <c r="AD11" i="1"/>
  <c r="AY11" i="1"/>
  <c r="BT11" i="1"/>
  <c r="BI37" i="1"/>
  <c r="BJ32" i="1"/>
  <c r="BI38" i="1"/>
  <c r="AD32" i="3" s="1"/>
  <c r="BG32" i="1"/>
  <c r="AR32" i="1"/>
  <c r="AO32" i="1"/>
  <c r="AL32" i="1"/>
  <c r="A4" i="4"/>
  <c r="AD20" i="3"/>
  <c r="X20" i="3"/>
  <c r="R20" i="3"/>
  <c r="L20" i="3"/>
  <c r="F20" i="3"/>
  <c r="AD19" i="3"/>
  <c r="X19" i="3"/>
  <c r="R19" i="3"/>
  <c r="L19" i="3"/>
  <c r="F19" i="3"/>
  <c r="A19" i="3"/>
  <c r="A20" i="3"/>
  <c r="E32" i="1"/>
  <c r="F32" i="1"/>
  <c r="H32" i="1"/>
  <c r="K32" i="1"/>
  <c r="N32" i="1"/>
  <c r="Q32" i="1"/>
  <c r="T32" i="1"/>
  <c r="W32" i="1"/>
  <c r="AC32" i="1"/>
  <c r="AF32" i="1"/>
  <c r="AG32" i="1"/>
  <c r="AI32" i="1"/>
  <c r="AU32" i="1"/>
  <c r="AX32" i="1"/>
  <c r="BM32" i="1"/>
  <c r="BP32" i="1"/>
  <c r="BS32" i="1"/>
  <c r="BV32" i="1"/>
  <c r="BY32" i="1"/>
  <c r="R12" i="3"/>
  <c r="AD16" i="3"/>
  <c r="X16" i="3"/>
  <c r="R16" i="3"/>
  <c r="L16" i="3"/>
  <c r="F16" i="3"/>
  <c r="AD13" i="3"/>
  <c r="X13" i="3"/>
  <c r="R13" i="3"/>
  <c r="L13" i="3"/>
  <c r="F13" i="3"/>
  <c r="A13" i="3"/>
  <c r="X12" i="3"/>
  <c r="R27" i="3"/>
  <c r="F27" i="3"/>
  <c r="R26" i="3"/>
  <c r="R21" i="3"/>
  <c r="F21" i="3"/>
  <c r="R18" i="3"/>
  <c r="F18" i="3"/>
  <c r="R17" i="3"/>
  <c r="F17" i="3"/>
  <c r="R15" i="3"/>
  <c r="F15" i="3"/>
  <c r="R14" i="3"/>
  <c r="F14" i="3"/>
  <c r="F12" i="3"/>
  <c r="R11" i="3"/>
  <c r="F11" i="3"/>
  <c r="R10" i="3"/>
  <c r="F10" i="3"/>
  <c r="R9" i="3"/>
  <c r="F9" i="3"/>
  <c r="R8" i="3"/>
  <c r="F8" i="3"/>
  <c r="R7" i="3"/>
  <c r="F7" i="3"/>
  <c r="F26" i="3"/>
  <c r="C30" i="1"/>
  <c r="D26" i="3"/>
  <c r="AK37" i="1"/>
  <c r="B3" i="4"/>
  <c r="A5" i="4"/>
  <c r="A6" i="4"/>
  <c r="A7" i="4"/>
  <c r="A8" i="4"/>
  <c r="A9" i="4"/>
  <c r="A10" i="4"/>
  <c r="A11" i="4"/>
  <c r="A12" i="4"/>
  <c r="A13" i="4"/>
  <c r="X27" i="3"/>
  <c r="X7" i="3"/>
  <c r="BH12" i="1"/>
  <c r="X8" i="3"/>
  <c r="BH13" i="1"/>
  <c r="X9" i="3"/>
  <c r="X10" i="3"/>
  <c r="X11" i="3"/>
  <c r="X14" i="3"/>
  <c r="X15" i="3"/>
  <c r="X17" i="3"/>
  <c r="X18" i="3"/>
  <c r="X26" i="3"/>
  <c r="X21" i="3"/>
  <c r="L7" i="3"/>
  <c r="CA37" i="1"/>
  <c r="BX37" i="1"/>
  <c r="BU37" i="1"/>
  <c r="BR37" i="1"/>
  <c r="BO37" i="1"/>
  <c r="AZ37" i="1"/>
  <c r="AQ37" i="1"/>
  <c r="AE37" i="1"/>
  <c r="O1" i="3"/>
  <c r="G37" i="1"/>
  <c r="BU38" i="1"/>
  <c r="AW38" i="1"/>
  <c r="I1" i="1"/>
  <c r="B32" i="1"/>
  <c r="AD27" i="3"/>
  <c r="L27" i="3"/>
  <c r="A27" i="3"/>
  <c r="AD26" i="3"/>
  <c r="L26" i="3"/>
  <c r="A26" i="3"/>
  <c r="AD21" i="3"/>
  <c r="L21" i="3"/>
  <c r="AD18" i="3"/>
  <c r="L18" i="3"/>
  <c r="A18" i="3"/>
  <c r="AD17" i="3"/>
  <c r="L17" i="3"/>
  <c r="A17" i="3"/>
  <c r="A16" i="3"/>
  <c r="AD15" i="3"/>
  <c r="L15" i="3"/>
  <c r="A15" i="3"/>
  <c r="AD14" i="3"/>
  <c r="L14" i="3"/>
  <c r="A14" i="3"/>
  <c r="AD12" i="3"/>
  <c r="L12" i="3"/>
  <c r="A12" i="3"/>
  <c r="AD11" i="3"/>
  <c r="L11" i="3"/>
  <c r="A11" i="3"/>
  <c r="AD10" i="3"/>
  <c r="L10" i="3"/>
  <c r="A10" i="3"/>
  <c r="AD9" i="3"/>
  <c r="L9" i="3"/>
  <c r="A9" i="3"/>
  <c r="AD8" i="3"/>
  <c r="L8" i="3"/>
  <c r="A8" i="3"/>
  <c r="AD7" i="3"/>
  <c r="A7" i="3"/>
  <c r="V38" i="1"/>
  <c r="BR38" i="1"/>
  <c r="AT37" i="1"/>
  <c r="AQ38" i="1"/>
  <c r="AT38" i="1"/>
  <c r="Y38" i="1"/>
  <c r="X32" i="1"/>
  <c r="Y37" i="1"/>
  <c r="AE38" i="1"/>
  <c r="G38" i="1"/>
  <c r="AZ38" i="1"/>
  <c r="I32" i="1"/>
  <c r="I17" i="1"/>
  <c r="C32" i="1"/>
  <c r="AP22" i="1"/>
  <c r="F22" i="1"/>
  <c r="AP21" i="1"/>
  <c r="AP20" i="1"/>
  <c r="F20" i="1"/>
  <c r="AS18" i="1"/>
  <c r="AP17" i="1"/>
  <c r="BT16" i="1"/>
  <c r="AS16" i="1"/>
  <c r="X16" i="1"/>
  <c r="F15" i="1"/>
  <c r="X14" i="1"/>
  <c r="F14" i="1"/>
  <c r="AD13" i="1"/>
  <c r="F13" i="1"/>
  <c r="AP12" i="1"/>
  <c r="C12" i="1"/>
  <c r="BK12" i="1"/>
  <c r="C31" i="1"/>
  <c r="AE27" i="3"/>
  <c r="C27" i="1"/>
  <c r="C23" i="1"/>
  <c r="C24" i="1"/>
  <c r="C26" i="1"/>
  <c r="C25" i="1"/>
  <c r="C28" i="1"/>
  <c r="C29" i="1"/>
  <c r="AS11" i="1"/>
  <c r="F25" i="1"/>
  <c r="AJ21" i="1"/>
  <c r="F21" i="1"/>
  <c r="F19" i="1"/>
  <c r="F18" i="1"/>
  <c r="F17" i="1"/>
  <c r="BT14" i="1"/>
  <c r="AS14" i="1"/>
  <c r="AS13" i="1"/>
  <c r="BT22" i="1"/>
  <c r="X22" i="1"/>
  <c r="BT21" i="1"/>
  <c r="AD21" i="1"/>
  <c r="BT20" i="1"/>
  <c r="X20" i="1"/>
  <c r="BT19" i="1"/>
  <c r="AD19" i="1"/>
  <c r="BT18" i="1"/>
  <c r="AD18" i="1"/>
  <c r="BZ17" i="1"/>
  <c r="X17" i="1"/>
  <c r="BZ16" i="1"/>
  <c r="F16" i="1"/>
  <c r="X15" i="1"/>
  <c r="AP14" i="1"/>
  <c r="BT13" i="1"/>
  <c r="X13" i="1"/>
  <c r="AH37" i="1"/>
  <c r="AG14" i="1"/>
  <c r="AG17" i="1"/>
  <c r="L21" i="1"/>
  <c r="L15" i="1"/>
  <c r="U17" i="1"/>
  <c r="L16" i="1"/>
  <c r="C19" i="1"/>
  <c r="L13" i="1"/>
  <c r="BK22" i="1"/>
  <c r="BZ11" i="1"/>
  <c r="L11" i="1"/>
  <c r="BZ18" i="1"/>
  <c r="L17" i="1"/>
  <c r="M37" i="1"/>
  <c r="M38" i="1"/>
  <c r="BK18" i="1"/>
  <c r="BZ22" i="1"/>
  <c r="L22" i="1"/>
  <c r="BZ20" i="1"/>
  <c r="L20" i="1"/>
  <c r="L19" i="1"/>
  <c r="L18" i="1"/>
  <c r="BZ15" i="1"/>
  <c r="BZ14" i="1"/>
  <c r="BZ13" i="1"/>
  <c r="C13" i="1"/>
  <c r="CA38" i="1"/>
  <c r="BL37" i="1"/>
  <c r="L14" i="1"/>
  <c r="V37" i="1"/>
  <c r="J38" i="1"/>
  <c r="BK19" i="1"/>
  <c r="BK15" i="1"/>
  <c r="BK11" i="1"/>
  <c r="BN11" i="1"/>
  <c r="AM11" i="1"/>
  <c r="AM25" i="1"/>
  <c r="BN22" i="1"/>
  <c r="AM22" i="1"/>
  <c r="C22" i="1"/>
  <c r="BN21" i="1"/>
  <c r="AM21" i="1"/>
  <c r="C21" i="1"/>
  <c r="BN20" i="1"/>
  <c r="AM20" i="1"/>
  <c r="C20" i="1"/>
  <c r="BN19" i="1"/>
  <c r="AV19" i="1"/>
  <c r="AG18" i="1"/>
  <c r="U18" i="1"/>
  <c r="I18" i="1"/>
  <c r="BW17" i="1"/>
  <c r="AM16" i="1"/>
  <c r="C16" i="1"/>
  <c r="BN15" i="1"/>
  <c r="AV15" i="1"/>
  <c r="AG15" i="1"/>
  <c r="U15" i="1"/>
  <c r="I15" i="1"/>
  <c r="BW14" i="1"/>
  <c r="AV13" i="1"/>
  <c r="AW37" i="1"/>
  <c r="BK21" i="1"/>
  <c r="BK17" i="1"/>
  <c r="BK13" i="1"/>
  <c r="U32" i="1"/>
  <c r="AM32" i="1"/>
  <c r="AV11" i="1"/>
  <c r="BK25" i="1"/>
  <c r="AV22" i="1"/>
  <c r="AV21" i="1"/>
  <c r="AV20" i="1"/>
  <c r="AG19" i="1"/>
  <c r="U19" i="1"/>
  <c r="I19" i="1"/>
  <c r="BW18" i="1"/>
  <c r="AM17" i="1"/>
  <c r="C17" i="1"/>
  <c r="BN16" i="1"/>
  <c r="AV16" i="1"/>
  <c r="AM14" i="1"/>
  <c r="C14" i="1"/>
  <c r="BN13" i="1"/>
  <c r="AG13" i="1"/>
  <c r="U13" i="1"/>
  <c r="I13" i="1"/>
  <c r="BK16" i="1"/>
  <c r="AH38" i="1"/>
  <c r="BX38" i="1"/>
  <c r="AN38" i="1"/>
  <c r="BO38" i="1"/>
  <c r="D38" i="1"/>
  <c r="BK20" i="1"/>
  <c r="BW11" i="1"/>
  <c r="AG11" i="1"/>
  <c r="U11" i="1"/>
  <c r="I11" i="1"/>
  <c r="AG25" i="1"/>
  <c r="U25" i="1"/>
  <c r="I25" i="1"/>
  <c r="BW22" i="1"/>
  <c r="AG22" i="1"/>
  <c r="U22" i="1"/>
  <c r="I22" i="1"/>
  <c r="BW21" i="1"/>
  <c r="AG21" i="1"/>
  <c r="U21" i="1"/>
  <c r="I21" i="1"/>
  <c r="BW20" i="1"/>
  <c r="AG20" i="1"/>
  <c r="U20" i="1"/>
  <c r="I20" i="1"/>
  <c r="BW19" i="1"/>
  <c r="AM18" i="1"/>
  <c r="C18" i="1"/>
  <c r="BN17" i="1"/>
  <c r="AG16" i="1"/>
  <c r="U16" i="1"/>
  <c r="I16" i="1"/>
  <c r="BW15" i="1"/>
  <c r="AM15" i="1"/>
  <c r="C15" i="1"/>
  <c r="BN14" i="1"/>
  <c r="BQ22" i="1"/>
  <c r="BQ19" i="1"/>
  <c r="BQ18" i="1"/>
  <c r="BQ17" i="1"/>
  <c r="BQ16" i="1"/>
  <c r="BQ15" i="1"/>
  <c r="BQ11" i="1"/>
  <c r="BQ21" i="1"/>
  <c r="BQ25" i="1"/>
  <c r="BQ20" i="1"/>
  <c r="BQ14" i="1"/>
  <c r="Y26" i="3"/>
  <c r="R17" i="1"/>
  <c r="R19" i="1"/>
  <c r="L25" i="1"/>
  <c r="AP16" i="1"/>
  <c r="AP25" i="1"/>
  <c r="AP11" i="1"/>
  <c r="AP24" i="1"/>
  <c r="M20" i="3"/>
  <c r="N20" i="3"/>
  <c r="AP32" i="1"/>
  <c r="AP23" i="1"/>
  <c r="AA19" i="3"/>
  <c r="AP19" i="1"/>
  <c r="AP15" i="1"/>
  <c r="AP13" i="1"/>
  <c r="AM19" i="1"/>
  <c r="AM12" i="1"/>
  <c r="Y20" i="3"/>
  <c r="O27" i="3"/>
  <c r="AA20" i="3"/>
  <c r="U20" i="3"/>
  <c r="BW12" i="1"/>
  <c r="X18" i="1"/>
  <c r="J37" i="1"/>
  <c r="X19" i="1"/>
  <c r="BW13" i="1"/>
  <c r="O20" i="3"/>
  <c r="X11" i="1"/>
  <c r="AS25" i="1"/>
  <c r="AY21" i="1"/>
  <c r="AY16" i="1"/>
  <c r="F11" i="1"/>
  <c r="AY22" i="1"/>
  <c r="AS21" i="1"/>
  <c r="BZ19" i="1"/>
  <c r="AY13" i="1"/>
  <c r="BZ25" i="1"/>
  <c r="AS22" i="1"/>
  <c r="X21" i="1"/>
  <c r="AY17" i="1"/>
  <c r="X25" i="1"/>
  <c r="AY18" i="1"/>
  <c r="R21" i="1"/>
  <c r="AJ25" i="1"/>
  <c r="R12" i="1"/>
  <c r="R13" i="1"/>
  <c r="R22" i="1"/>
  <c r="R18" i="1"/>
  <c r="R20" i="1"/>
  <c r="S38" i="1"/>
  <c r="R25" i="1"/>
  <c r="R11" i="1"/>
  <c r="R16" i="1"/>
  <c r="R14" i="1"/>
  <c r="AK38" i="1"/>
  <c r="AJ14" i="1"/>
  <c r="AJ11" i="1"/>
  <c r="AJ17" i="1"/>
  <c r="AJ20" i="1"/>
  <c r="AJ18" i="1"/>
  <c r="AJ16" i="1"/>
  <c r="AJ19" i="1"/>
  <c r="AJ32" i="1"/>
  <c r="F28" i="3"/>
  <c r="H28" i="3" s="1"/>
  <c r="AJ13" i="1"/>
  <c r="AJ22" i="1"/>
  <c r="AJ15" i="1"/>
  <c r="U19" i="3"/>
  <c r="C20" i="3"/>
  <c r="G20" i="3"/>
  <c r="I20" i="3"/>
  <c r="D20" i="3"/>
  <c r="AE20" i="3"/>
  <c r="S20" i="3"/>
  <c r="T20" i="3"/>
  <c r="V20" i="3"/>
  <c r="AG20" i="3"/>
  <c r="S19" i="3"/>
  <c r="T19" i="3"/>
  <c r="V19" i="3"/>
  <c r="AG19" i="3"/>
  <c r="O19" i="3"/>
  <c r="AE19" i="3"/>
  <c r="AF19" i="3"/>
  <c r="C19" i="3"/>
  <c r="Y19" i="3"/>
  <c r="Z19" i="3"/>
  <c r="I19" i="3"/>
  <c r="D19" i="3"/>
  <c r="M19" i="3"/>
  <c r="N19" i="3"/>
  <c r="P19" i="3"/>
  <c r="G19" i="3"/>
  <c r="H20" i="3"/>
  <c r="AF27" i="3"/>
  <c r="Z20" i="3"/>
  <c r="Y18" i="3"/>
  <c r="Z18" i="3"/>
  <c r="BH25" i="1"/>
  <c r="M21" i="3"/>
  <c r="N21" i="3"/>
  <c r="P21" i="3"/>
  <c r="X28" i="3"/>
  <c r="Z28" i="3" s="1"/>
  <c r="BC38" i="1"/>
  <c r="Z26" i="3"/>
  <c r="AF20" i="3"/>
  <c r="AV17" i="1"/>
  <c r="AV14" i="1"/>
  <c r="AV25" i="1"/>
  <c r="H19" i="3"/>
  <c r="AS20" i="1"/>
  <c r="AS19" i="1"/>
  <c r="AS32" i="1"/>
  <c r="O32" i="1"/>
  <c r="O14" i="1"/>
  <c r="P37" i="1"/>
  <c r="O11" i="1"/>
  <c r="BH11" i="1"/>
  <c r="C7" i="3"/>
  <c r="O16" i="1"/>
  <c r="P38" i="1"/>
  <c r="O17" i="1"/>
  <c r="O13" i="1"/>
  <c r="O20" i="1"/>
  <c r="R28" i="3"/>
  <c r="T28" i="3" s="1"/>
  <c r="O12" i="1"/>
  <c r="L28" i="3"/>
  <c r="N28" i="3" s="1"/>
  <c r="O19" i="1"/>
  <c r="O15" i="1"/>
  <c r="O18" i="1"/>
  <c r="AD28" i="3"/>
  <c r="AF28" i="3" s="1"/>
  <c r="O21" i="1"/>
  <c r="AE18" i="3"/>
  <c r="AF18" i="3"/>
  <c r="Y27" i="3"/>
  <c r="Z27" i="3"/>
  <c r="O26" i="3"/>
  <c r="G27" i="3"/>
  <c r="H27" i="3"/>
  <c r="BH20" i="1"/>
  <c r="U14" i="1"/>
  <c r="AY14" i="1"/>
  <c r="P33" i="1"/>
  <c r="AA11" i="1"/>
  <c r="AA25" i="1"/>
  <c r="AG27" i="3"/>
  <c r="I27" i="3"/>
  <c r="M27" i="3"/>
  <c r="N27" i="3"/>
  <c r="AG26" i="3"/>
  <c r="AV18" i="1"/>
  <c r="AA14" i="1"/>
  <c r="AB38" i="1"/>
  <c r="S27" i="3"/>
  <c r="T27" i="3"/>
  <c r="V27" i="3"/>
  <c r="C26" i="3"/>
  <c r="AE26" i="3"/>
  <c r="AF26" i="3"/>
  <c r="BH15" i="1"/>
  <c r="G18" i="3"/>
  <c r="H18" i="3"/>
  <c r="J18" i="3"/>
  <c r="BH21" i="1"/>
  <c r="G17" i="3"/>
  <c r="H17" i="3"/>
  <c r="AA17" i="1"/>
  <c r="Y13" i="3"/>
  <c r="Z13" i="3"/>
  <c r="AA18" i="1"/>
  <c r="I26" i="3"/>
  <c r="S26" i="3"/>
  <c r="T26" i="3"/>
  <c r="M26" i="3"/>
  <c r="N26" i="3"/>
  <c r="BH19" i="1"/>
  <c r="BH14" i="1"/>
  <c r="R15" i="1"/>
  <c r="C11" i="3"/>
  <c r="AA13" i="1"/>
  <c r="AA20" i="1"/>
  <c r="Y12" i="3"/>
  <c r="Z12" i="3"/>
  <c r="G13" i="3"/>
  <c r="H13" i="3"/>
  <c r="D13" i="3"/>
  <c r="G26" i="3"/>
  <c r="H26" i="3"/>
  <c r="AY19" i="1"/>
  <c r="AA19" i="1"/>
  <c r="I21" i="3"/>
  <c r="AG18" i="3"/>
  <c r="S18" i="3"/>
  <c r="T18" i="3"/>
  <c r="V18" i="3"/>
  <c r="I18" i="3"/>
  <c r="U18" i="3"/>
  <c r="O18" i="3"/>
  <c r="C18" i="3"/>
  <c r="AA18" i="3"/>
  <c r="M18" i="3"/>
  <c r="N18" i="3"/>
  <c r="D18" i="3"/>
  <c r="C21" i="3"/>
  <c r="AE11" i="3"/>
  <c r="AF11" i="3"/>
  <c r="S8" i="3"/>
  <c r="T8" i="3"/>
  <c r="G16" i="3"/>
  <c r="H16" i="3"/>
  <c r="M17" i="3"/>
  <c r="N17" i="3"/>
  <c r="AG21" i="3"/>
  <c r="AE17" i="3"/>
  <c r="AF17" i="3"/>
  <c r="M10" i="3"/>
  <c r="N10" i="3"/>
  <c r="G10" i="3"/>
  <c r="H10" i="3"/>
  <c r="C10" i="3"/>
  <c r="I10" i="3"/>
  <c r="U10" i="3"/>
  <c r="AG10" i="3"/>
  <c r="S10" i="3"/>
  <c r="T10" i="3"/>
  <c r="Y10" i="3"/>
  <c r="Z10" i="3"/>
  <c r="AE10" i="3"/>
  <c r="AF10" i="3"/>
  <c r="AA10" i="3"/>
  <c r="O10" i="3"/>
  <c r="D10" i="3"/>
  <c r="I7" i="3"/>
  <c r="I8" i="3"/>
  <c r="G21" i="3"/>
  <c r="H21" i="3"/>
  <c r="J21" i="3"/>
  <c r="O17" i="3"/>
  <c r="AG11" i="3"/>
  <c r="C16" i="3"/>
  <c r="I17" i="3"/>
  <c r="AA17" i="3"/>
  <c r="S17" i="3"/>
  <c r="T17" i="3"/>
  <c r="U17" i="3"/>
  <c r="D16" i="3"/>
  <c r="I16" i="3"/>
  <c r="Y16" i="3"/>
  <c r="Z16" i="3"/>
  <c r="S16" i="3"/>
  <c r="T16" i="3"/>
  <c r="U16" i="3"/>
  <c r="M16" i="3"/>
  <c r="N16" i="3"/>
  <c r="AE16" i="3"/>
  <c r="AF16" i="3"/>
  <c r="AA16" i="3"/>
  <c r="O16" i="3"/>
  <c r="AG7" i="3"/>
  <c r="M8" i="3"/>
  <c r="N8" i="3"/>
  <c r="S13" i="3"/>
  <c r="T13" i="3"/>
  <c r="D21" i="3"/>
  <c r="G11" i="3"/>
  <c r="H11" i="3"/>
  <c r="C9" i="3"/>
  <c r="S9" i="3"/>
  <c r="T9" i="3"/>
  <c r="AG9" i="3"/>
  <c r="U9" i="3"/>
  <c r="O9" i="3"/>
  <c r="AA9" i="3"/>
  <c r="I9" i="3"/>
  <c r="AE9" i="3"/>
  <c r="AF9" i="3"/>
  <c r="G9" i="3"/>
  <c r="H9" i="3"/>
  <c r="Y9" i="3"/>
  <c r="Z9" i="3"/>
  <c r="D9" i="3"/>
  <c r="M9" i="3"/>
  <c r="N9" i="3"/>
  <c r="S7" i="3"/>
  <c r="T7" i="3"/>
  <c r="Y7" i="3"/>
  <c r="G8" i="3"/>
  <c r="H8" i="3"/>
  <c r="Y17" i="3"/>
  <c r="Z17" i="3"/>
  <c r="I11" i="3"/>
  <c r="AE21" i="3"/>
  <c r="AF21" i="3"/>
  <c r="AH21" i="3"/>
  <c r="Y11" i="3"/>
  <c r="Z11" i="3"/>
  <c r="AG14" i="3"/>
  <c r="S14" i="3"/>
  <c r="T14" i="3"/>
  <c r="I14" i="3"/>
  <c r="M14" i="3"/>
  <c r="N14" i="3"/>
  <c r="O14" i="3"/>
  <c r="D14" i="3"/>
  <c r="C14" i="3"/>
  <c r="U14" i="3"/>
  <c r="AE14" i="3"/>
  <c r="AF14" i="3"/>
  <c r="AA14" i="3"/>
  <c r="G14" i="3"/>
  <c r="H14" i="3"/>
  <c r="Y14" i="3"/>
  <c r="Z14" i="3"/>
  <c r="U13" i="3"/>
  <c r="C13" i="3"/>
  <c r="I13" i="3"/>
  <c r="AA13" i="3"/>
  <c r="G7" i="3"/>
  <c r="M7" i="3"/>
  <c r="N7" i="3"/>
  <c r="C8" i="3"/>
  <c r="O13" i="3"/>
  <c r="S21" i="3"/>
  <c r="T21" i="3"/>
  <c r="V21" i="3"/>
  <c r="M11" i="3"/>
  <c r="N11" i="3"/>
  <c r="S11" i="3"/>
  <c r="T11" i="3"/>
  <c r="O11" i="3"/>
  <c r="AA11" i="3"/>
  <c r="U11" i="3"/>
  <c r="D11" i="3"/>
  <c r="O7" i="3"/>
  <c r="AE13" i="3"/>
  <c r="AF13" i="3"/>
  <c r="AG8" i="3"/>
  <c r="M13" i="3"/>
  <c r="N13" i="3"/>
  <c r="AA15" i="3"/>
  <c r="AE15" i="3"/>
  <c r="AF15" i="3"/>
  <c r="AG15" i="3"/>
  <c r="C15" i="3"/>
  <c r="O15" i="3"/>
  <c r="D15" i="3"/>
  <c r="G15" i="3"/>
  <c r="H15" i="3"/>
  <c r="I15" i="3"/>
  <c r="U15" i="3"/>
  <c r="S15" i="3"/>
  <c r="T15" i="3"/>
  <c r="M15" i="3"/>
  <c r="N15" i="3"/>
  <c r="Y15" i="3"/>
  <c r="Z15" i="3"/>
  <c r="U12" i="3"/>
  <c r="D12" i="3"/>
  <c r="C12" i="3"/>
  <c r="I12" i="3"/>
  <c r="AE12" i="3"/>
  <c r="AF12" i="3"/>
  <c r="S12" i="3"/>
  <c r="T12" i="3"/>
  <c r="M12" i="3"/>
  <c r="N12" i="3"/>
  <c r="AA12" i="3"/>
  <c r="AG12" i="3"/>
  <c r="G12" i="3"/>
  <c r="H12" i="3"/>
  <c r="O12" i="3"/>
  <c r="AE8" i="3"/>
  <c r="AF8" i="3"/>
  <c r="Y8" i="3"/>
  <c r="Z8" i="3"/>
  <c r="C17" i="3"/>
  <c r="AG13" i="3"/>
  <c r="D17" i="3"/>
  <c r="AA21" i="3"/>
  <c r="Y21" i="3"/>
  <c r="Z21" i="3"/>
  <c r="AB21" i="3"/>
  <c r="U21" i="3"/>
  <c r="AA7" i="3"/>
  <c r="U7" i="3"/>
  <c r="D7" i="3"/>
  <c r="D8" i="3"/>
  <c r="AG17" i="3"/>
  <c r="O21" i="3"/>
  <c r="U8" i="3"/>
  <c r="AA8" i="3"/>
  <c r="AE7" i="3"/>
  <c r="AF7" i="3"/>
  <c r="O8" i="3"/>
  <c r="AG16" i="3"/>
  <c r="AH20" i="3"/>
  <c r="P20" i="3"/>
  <c r="AH19" i="3"/>
  <c r="AH18" i="3"/>
  <c r="P18" i="3"/>
  <c r="V12" i="3"/>
  <c r="P7" i="3"/>
  <c r="AH7" i="3"/>
  <c r="AH27" i="3"/>
  <c r="P12" i="3"/>
  <c r="P15" i="3"/>
  <c r="V11" i="3"/>
  <c r="V9" i="3"/>
  <c r="V14" i="3"/>
  <c r="V8" i="3"/>
  <c r="AH12" i="3"/>
  <c r="H7" i="3"/>
  <c r="AH14" i="3"/>
  <c r="AH9" i="3"/>
  <c r="AH13" i="3"/>
  <c r="P11" i="3"/>
  <c r="AH16" i="3"/>
  <c r="V17" i="3"/>
  <c r="AH10" i="3"/>
  <c r="P10" i="3"/>
  <c r="AH8" i="3"/>
  <c r="P13" i="3"/>
  <c r="Z7" i="3"/>
  <c r="AB11" i="3"/>
  <c r="P16" i="3"/>
  <c r="AH11" i="3"/>
  <c r="V15" i="3"/>
  <c r="P27" i="3"/>
  <c r="V7" i="3"/>
  <c r="V10" i="3"/>
  <c r="AH17" i="3"/>
  <c r="P9" i="3"/>
  <c r="V13" i="3"/>
  <c r="V16" i="3"/>
  <c r="AH15" i="3"/>
  <c r="P14" i="3"/>
  <c r="P8" i="3"/>
  <c r="P17" i="3"/>
  <c r="J8" i="3"/>
  <c r="J20" i="3"/>
  <c r="AB20" i="3"/>
  <c r="AB19" i="3"/>
  <c r="J19" i="3"/>
  <c r="AB14" i="3"/>
  <c r="AB15" i="3"/>
  <c r="AB17" i="3"/>
  <c r="AB18" i="3"/>
  <c r="AB9" i="3"/>
  <c r="J14" i="3"/>
  <c r="J10" i="3"/>
  <c r="J9" i="3"/>
  <c r="J12" i="3"/>
  <c r="J15" i="3"/>
  <c r="J11" i="3"/>
  <c r="AB8" i="3"/>
  <c r="AB16" i="3"/>
  <c r="AB7" i="3"/>
  <c r="AB27" i="3"/>
  <c r="AB13" i="3"/>
  <c r="AB12" i="3"/>
  <c r="AB10" i="3"/>
  <c r="J7" i="3"/>
  <c r="J16" i="3"/>
  <c r="J27" i="3"/>
  <c r="J17" i="3"/>
  <c r="J13" i="3"/>
  <c r="AD33" i="3" l="1"/>
  <c r="L31" i="3"/>
  <c r="F32" i="3"/>
  <c r="F31" i="3"/>
  <c r="F34" i="3" s="1"/>
  <c r="X32" i="3"/>
  <c r="X33" i="3"/>
  <c r="R31" i="3"/>
  <c r="X31" i="3"/>
  <c r="R32" i="3"/>
  <c r="R33" i="3"/>
  <c r="L33" i="3"/>
  <c r="L32" i="3"/>
  <c r="AD31" i="3"/>
  <c r="F33" i="3"/>
  <c r="X34" i="3" l="1"/>
  <c r="Y33" i="3" s="1"/>
  <c r="L34" i="3"/>
  <c r="M32" i="3" s="1"/>
  <c r="R34" i="3"/>
  <c r="R4" i="3" s="1"/>
  <c r="G32" i="3"/>
  <c r="F4" i="3"/>
  <c r="G31" i="3"/>
  <c r="G33" i="3"/>
  <c r="AD34" i="3"/>
  <c r="S31" i="3"/>
  <c r="M33" i="3"/>
  <c r="S33" i="3"/>
  <c r="S32" i="3"/>
  <c r="Y32" i="3" l="1"/>
  <c r="Y31" i="3"/>
  <c r="L4" i="3"/>
  <c r="X4" i="3"/>
  <c r="M31" i="3"/>
  <c r="AD4" i="3"/>
  <c r="AE31" i="3"/>
  <c r="AE33" i="3"/>
  <c r="AE32" i="3"/>
</calcChain>
</file>

<file path=xl/sharedStrings.xml><?xml version="1.0" encoding="utf-8"?>
<sst xmlns="http://schemas.openxmlformats.org/spreadsheetml/2006/main" count="284" uniqueCount="116">
  <si>
    <t>Player</t>
  </si>
  <si>
    <t>Date</t>
  </si>
  <si>
    <t>Where</t>
  </si>
  <si>
    <t>Home / Away</t>
  </si>
  <si>
    <t>Total</t>
  </si>
  <si>
    <t>Score</t>
  </si>
  <si>
    <t>Away</t>
  </si>
  <si>
    <t>Win/Loss</t>
  </si>
  <si>
    <t>Opposition:</t>
  </si>
  <si>
    <t>Comments:</t>
  </si>
  <si>
    <t>Rich W</t>
  </si>
  <si>
    <t>Dash</t>
  </si>
  <si>
    <t>John B</t>
  </si>
  <si>
    <t>Rod</t>
  </si>
  <si>
    <t>Lyndon</t>
  </si>
  <si>
    <t>Home</t>
  </si>
  <si>
    <t>Pos #</t>
  </si>
  <si>
    <t>Overall</t>
  </si>
  <si>
    <t>Pos</t>
  </si>
  <si>
    <t>Win</t>
  </si>
  <si>
    <t>Played</t>
  </si>
  <si>
    <t>Loss</t>
  </si>
  <si>
    <t>Draw</t>
  </si>
  <si>
    <t>Av.</t>
  </si>
  <si>
    <t>Tot.</t>
  </si>
  <si>
    <t># of</t>
  </si>
  <si>
    <t>Totes</t>
  </si>
  <si>
    <t>Sgnt. Major A</t>
  </si>
  <si>
    <t>Sgnt. Major B</t>
  </si>
  <si>
    <t>Key: saw</t>
  </si>
  <si>
    <t>Cup/League</t>
  </si>
  <si>
    <t>Cup</t>
  </si>
  <si>
    <t>League</t>
  </si>
  <si>
    <t>Game</t>
  </si>
  <si>
    <t>Last Updated =now()</t>
  </si>
  <si>
    <t>Trevor D</t>
  </si>
  <si>
    <t>Dave E (Doc)</t>
  </si>
  <si>
    <t>Last Updated</t>
  </si>
  <si>
    <t>Rich A</t>
  </si>
  <si>
    <t>Pl'd</t>
  </si>
  <si>
    <t>Player  \ Date</t>
  </si>
  <si>
    <t>Home Average</t>
  </si>
  <si>
    <t>Overall Average</t>
  </si>
  <si>
    <t>Highest Score</t>
  </si>
  <si>
    <t xml:space="preserve"> </t>
  </si>
  <si>
    <t># of Totes</t>
  </si>
  <si>
    <t>Margin</t>
  </si>
  <si>
    <t>Average:</t>
  </si>
  <si>
    <t>Steve L</t>
  </si>
  <si>
    <t>Scores Link</t>
  </si>
  <si>
    <t>&amp;</t>
  </si>
  <si>
    <t>SCORES - New Inn A: 2018/19</t>
  </si>
  <si>
    <t>STATISTICS - New Inn A: 2018/19</t>
  </si>
  <si>
    <t>Cumulative Average Scores 2018/19</t>
  </si>
  <si>
    <t>N Stamp</t>
  </si>
  <si>
    <t>Pawlett Legion</t>
  </si>
  <si>
    <t>C Pegler</t>
  </si>
  <si>
    <t>C J Durston</t>
  </si>
  <si>
    <t>M Boulton</t>
  </si>
  <si>
    <t>J Torren-Spens</t>
  </si>
  <si>
    <t>C Griffin</t>
  </si>
  <si>
    <t>M Tilley</t>
  </si>
  <si>
    <t>R Willcox</t>
  </si>
  <si>
    <t>P Duke</t>
  </si>
  <si>
    <t>J Martin</t>
  </si>
  <si>
    <t>4th round Knock Out;
3rd round 2nd Chance</t>
  </si>
  <si>
    <t>S Clatworthy</t>
  </si>
  <si>
    <t>D Scott</t>
  </si>
  <si>
    <t>P Ashton</t>
  </si>
  <si>
    <t>M Tanner</t>
  </si>
  <si>
    <t>B Cox</t>
  </si>
  <si>
    <t>B Stephens</t>
  </si>
  <si>
    <t>B Keedwell</t>
  </si>
  <si>
    <t>Brent Knoll Inn</t>
  </si>
  <si>
    <t>New Inn</t>
  </si>
  <si>
    <t>BUFC</t>
  </si>
  <si>
    <t>Bason Bridge Inn</t>
  </si>
  <si>
    <t>Sexeys Arms</t>
  </si>
  <si>
    <t>Woodborough</t>
  </si>
  <si>
    <t>Lympsham Pav.</t>
  </si>
  <si>
    <t>Red Cow, Brent Knoll</t>
  </si>
  <si>
    <t>Red Tile</t>
  </si>
  <si>
    <t>Red Tile, Cossington</t>
  </si>
  <si>
    <t>White Horse</t>
  </si>
  <si>
    <t>White Horse, Mark</t>
  </si>
  <si>
    <t>Orchard Inn, West Huntspill</t>
  </si>
  <si>
    <t>BASC Sports Ground</t>
  </si>
  <si>
    <t>Lamb Inn, Worle</t>
  </si>
  <si>
    <t>Lamb Inn, Weare</t>
  </si>
  <si>
    <t>Lamb Inn,  Axbridge</t>
  </si>
  <si>
    <t>Bason Bridge</t>
  </si>
  <si>
    <t>Gary</t>
  </si>
  <si>
    <t>Pete P</t>
  </si>
  <si>
    <t>G Fear</t>
  </si>
  <si>
    <t>1st round Knock Out;
Played the alley away from the road</t>
  </si>
  <si>
    <t xml:space="preserve">3rd round Knock Out;
</t>
  </si>
  <si>
    <t>2nd round 2nd Chance - NO GAME</t>
  </si>
  <si>
    <t>Red Tile Cossington</t>
  </si>
  <si>
    <t>Duck, Burtle</t>
  </si>
  <si>
    <t>Postponed, Duck double booked</t>
  </si>
  <si>
    <t>2nd round Knock Out; played Monday due to Golf Tour.</t>
  </si>
  <si>
    <t>K Meredith</t>
  </si>
  <si>
    <t>Rescheduled game from 3 October</t>
  </si>
  <si>
    <t>Stewart Denny</t>
  </si>
  <si>
    <t>Ben Small</t>
  </si>
  <si>
    <t>Charlotte</t>
  </si>
  <si>
    <t>Postponed from 16th Jan</t>
  </si>
  <si>
    <t>M Fewings</t>
  </si>
  <si>
    <t>Wellington Arms, Rooksbridge</t>
  </si>
  <si>
    <t>tbc</t>
  </si>
  <si>
    <t>Board 6th Feb</t>
  </si>
  <si>
    <t>Board</t>
  </si>
  <si>
    <t>Totals</t>
  </si>
  <si>
    <t>Act</t>
  </si>
  <si>
    <t>WH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</si>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</sst>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Wingdings"/>
      <charset val="2"/>
    </font>
    <font>
      <b/>
      <sz val="14"/>
      <color rgb="FFC00000"/>
      <name val="Wingdings"/>
      <charset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/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0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5" xfId="0" applyFont="1" applyFill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Border="1"/>
    <xf numFmtId="165" fontId="3" fillId="3" borderId="8" xfId="0" applyNumberFormat="1" applyFont="1" applyFill="1" applyBorder="1"/>
    <xf numFmtId="0" fontId="3" fillId="2" borderId="8" xfId="0" applyFont="1" applyFill="1" applyBorder="1"/>
    <xf numFmtId="165" fontId="3" fillId="2" borderId="8" xfId="0" applyNumberFormat="1" applyFont="1" applyFill="1" applyBorder="1"/>
    <xf numFmtId="0" fontId="4" fillId="2" borderId="8" xfId="0" applyFont="1" applyFill="1" applyBorder="1"/>
    <xf numFmtId="0" fontId="4" fillId="4" borderId="5" xfId="0" applyFont="1" applyFill="1" applyBorder="1"/>
    <xf numFmtId="165" fontId="4" fillId="4" borderId="5" xfId="0" applyNumberFormat="1" applyFont="1" applyFill="1" applyBorder="1"/>
    <xf numFmtId="165" fontId="0" fillId="0" borderId="0" xfId="0" applyNumberFormat="1"/>
    <xf numFmtId="165" fontId="4" fillId="3" borderId="5" xfId="0" applyNumberFormat="1" applyFont="1" applyFill="1" applyBorder="1"/>
    <xf numFmtId="0" fontId="3" fillId="2" borderId="9" xfId="0" applyFont="1" applyFill="1" applyBorder="1"/>
    <xf numFmtId="0" fontId="4" fillId="2" borderId="5" xfId="0" applyFont="1" applyFill="1" applyBorder="1"/>
    <xf numFmtId="165" fontId="4" fillId="2" borderId="5" xfId="0" applyNumberFormat="1" applyFont="1" applyFill="1" applyBorder="1"/>
    <xf numFmtId="0" fontId="6" fillId="0" borderId="0" xfId="0" applyFont="1"/>
    <xf numFmtId="0" fontId="4" fillId="3" borderId="8" xfId="0" applyFont="1" applyFill="1" applyBorder="1" applyAlignment="1">
      <alignment horizontal="left" indent="1"/>
    </xf>
    <xf numFmtId="0" fontId="4" fillId="3" borderId="9" xfId="0" applyFont="1" applyFill="1" applyBorder="1" applyAlignment="1">
      <alignment horizontal="left" inden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/>
    <xf numFmtId="0" fontId="3" fillId="3" borderId="8" xfId="0" applyFont="1" applyFill="1" applyBorder="1" applyAlignment="1">
      <alignment horizontal="center"/>
    </xf>
    <xf numFmtId="0" fontId="0" fillId="3" borderId="0" xfId="0" applyFill="1"/>
    <xf numFmtId="0" fontId="3" fillId="3" borderId="9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0" fillId="8" borderId="0" xfId="0" applyFill="1"/>
    <xf numFmtId="0" fontId="4" fillId="8" borderId="0" xfId="0" applyFont="1" applyFill="1"/>
    <xf numFmtId="0" fontId="4" fillId="8" borderId="10" xfId="0" applyFont="1" applyFill="1" applyBorder="1"/>
    <xf numFmtId="0" fontId="3" fillId="8" borderId="5" xfId="0" applyFont="1" applyFill="1" applyBorder="1" applyAlignment="1">
      <alignment horizontal="center"/>
    </xf>
    <xf numFmtId="0" fontId="4" fillId="8" borderId="5" xfId="0" applyFont="1" applyFill="1" applyBorder="1"/>
    <xf numFmtId="0" fontId="4" fillId="8" borderId="5" xfId="0" applyFont="1" applyFill="1" applyBorder="1" applyAlignment="1">
      <alignment horizontal="center"/>
    </xf>
    <xf numFmtId="0" fontId="0" fillId="8" borderId="5" xfId="0" applyFill="1" applyBorder="1"/>
    <xf numFmtId="0" fontId="4" fillId="0" borderId="8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indent="1"/>
    </xf>
    <xf numFmtId="0" fontId="2" fillId="8" borderId="0" xfId="0" applyFont="1" applyFill="1"/>
    <xf numFmtId="0" fontId="3" fillId="8" borderId="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4" xfId="0" applyFont="1" applyFill="1" applyBorder="1"/>
    <xf numFmtId="0" fontId="4" fillId="4" borderId="3" xfId="0" applyFont="1" applyFill="1" applyBorder="1" applyAlignment="1"/>
    <xf numFmtId="0" fontId="4" fillId="4" borderId="0" xfId="0" applyFont="1" applyFill="1" applyBorder="1" applyAlignment="1"/>
    <xf numFmtId="0" fontId="4" fillId="4" borderId="0" xfId="0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3" borderId="3" xfId="0" applyFont="1" applyFill="1" applyBorder="1" applyAlignme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right"/>
    </xf>
    <xf numFmtId="0" fontId="4" fillId="3" borderId="4" xfId="0" applyFont="1" applyFill="1" applyBorder="1" applyAlignment="1"/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12" xfId="0" applyNumberFormat="1" applyFont="1" applyFill="1" applyBorder="1"/>
    <xf numFmtId="0" fontId="4" fillId="3" borderId="14" xfId="0" applyNumberFormat="1" applyFont="1" applyFill="1" applyBorder="1"/>
    <xf numFmtId="0" fontId="3" fillId="5" borderId="7" xfId="0" applyFont="1" applyFill="1" applyBorder="1"/>
    <xf numFmtId="0" fontId="0" fillId="5" borderId="2" xfId="0" applyFill="1" applyBorder="1"/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12" xfId="0" applyNumberFormat="1" applyFont="1" applyFill="1" applyBorder="1"/>
    <xf numFmtId="0" fontId="4" fillId="2" borderId="14" xfId="0" applyNumberFormat="1" applyFont="1" applyFill="1" applyBorder="1"/>
    <xf numFmtId="0" fontId="4" fillId="8" borderId="8" xfId="0" applyFont="1" applyFill="1" applyBorder="1" applyAlignment="1" applyProtection="1">
      <alignment horizontal="left" indent="1"/>
      <protection locked="0"/>
    </xf>
    <xf numFmtId="0" fontId="4" fillId="3" borderId="9" xfId="0" applyFont="1" applyFill="1" applyBorder="1" applyAlignment="1" applyProtection="1">
      <alignment horizontal="left" indent="1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9" fillId="3" borderId="12" xfId="0" applyFont="1" applyFill="1" applyBorder="1" applyProtection="1">
      <protection locked="0"/>
    </xf>
    <xf numFmtId="0" fontId="9" fillId="8" borderId="12" xfId="0" applyFont="1" applyFill="1" applyBorder="1" applyProtection="1">
      <protection locked="0"/>
    </xf>
    <xf numFmtId="0" fontId="9" fillId="3" borderId="14" xfId="0" applyFont="1" applyFill="1" applyBorder="1" applyProtection="1">
      <protection locked="0"/>
    </xf>
    <xf numFmtId="0" fontId="10" fillId="3" borderId="8" xfId="0" applyFont="1" applyFill="1" applyBorder="1" applyAlignment="1" applyProtection="1">
      <alignment horizontal="left" indent="1"/>
      <protection locked="0"/>
    </xf>
    <xf numFmtId="0" fontId="10" fillId="8" borderId="8" xfId="0" applyFont="1" applyFill="1" applyBorder="1" applyAlignment="1" applyProtection="1">
      <alignment horizontal="left" indent="1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8" borderId="11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/>
    <xf numFmtId="0" fontId="4" fillId="8" borderId="15" xfId="0" applyFont="1" applyFill="1" applyBorder="1" applyAlignment="1">
      <alignment horizontal="center"/>
    </xf>
    <xf numFmtId="0" fontId="10" fillId="8" borderId="10" xfId="0" applyFont="1" applyFill="1" applyBorder="1" applyProtection="1">
      <protection locked="0"/>
    </xf>
    <xf numFmtId="3" fontId="3" fillId="2" borderId="11" xfId="0" applyNumberFormat="1" applyFont="1" applyFill="1" applyBorder="1"/>
    <xf numFmtId="3" fontId="0" fillId="0" borderId="0" xfId="0" applyNumberFormat="1"/>
    <xf numFmtId="0" fontId="4" fillId="0" borderId="19" xfId="0" applyFont="1" applyFill="1" applyBorder="1" applyAlignment="1">
      <alignment horizontal="left" indent="1"/>
    </xf>
    <xf numFmtId="0" fontId="3" fillId="4" borderId="21" xfId="0" quotePrefix="1" applyFont="1" applyFill="1" applyBorder="1"/>
    <xf numFmtId="165" fontId="3" fillId="4" borderId="21" xfId="0" applyNumberFormat="1" applyFont="1" applyFill="1" applyBorder="1"/>
    <xf numFmtId="0" fontId="4" fillId="4" borderId="21" xfId="0" quotePrefix="1" applyFont="1" applyFill="1" applyBorder="1"/>
    <xf numFmtId="0" fontId="4" fillId="4" borderId="22" xfId="0" applyNumberFormat="1" applyFont="1" applyFill="1" applyBorder="1"/>
    <xf numFmtId="165" fontId="3" fillId="0" borderId="19" xfId="0" applyNumberFormat="1" applyFont="1" applyBorder="1"/>
    <xf numFmtId="3" fontId="3" fillId="3" borderId="20" xfId="0" quotePrefix="1" applyNumberFormat="1" applyFont="1" applyFill="1" applyBorder="1"/>
    <xf numFmtId="0" fontId="3" fillId="3" borderId="21" xfId="0" quotePrefix="1" applyFont="1" applyFill="1" applyBorder="1"/>
    <xf numFmtId="0" fontId="3" fillId="0" borderId="19" xfId="0" applyFont="1" applyBorder="1"/>
    <xf numFmtId="3" fontId="3" fillId="4" borderId="11" xfId="0" applyNumberFormat="1" applyFont="1" applyFill="1" applyBorder="1"/>
    <xf numFmtId="0" fontId="3" fillId="4" borderId="8" xfId="0" applyFont="1" applyFill="1" applyBorder="1"/>
    <xf numFmtId="165" fontId="3" fillId="4" borderId="8" xfId="0" applyNumberFormat="1" applyFont="1" applyFill="1" applyBorder="1"/>
    <xf numFmtId="0" fontId="4" fillId="4" borderId="8" xfId="0" quotePrefix="1" applyFont="1" applyFill="1" applyBorder="1"/>
    <xf numFmtId="0" fontId="4" fillId="4" borderId="12" xfId="0" applyNumberFormat="1" applyFont="1" applyFill="1" applyBorder="1"/>
    <xf numFmtId="165" fontId="3" fillId="0" borderId="8" xfId="0" applyNumberFormat="1" applyFont="1" applyBorder="1"/>
    <xf numFmtId="3" fontId="3" fillId="3" borderId="11" xfId="0" quotePrefix="1" applyNumberFormat="1" applyFont="1" applyFill="1" applyBorder="1"/>
    <xf numFmtId="0" fontId="4" fillId="3" borderId="8" xfId="0" quotePrefix="1" applyFont="1" applyFill="1" applyBorder="1"/>
    <xf numFmtId="0" fontId="3" fillId="0" borderId="8" xfId="0" applyFont="1" applyBorder="1"/>
    <xf numFmtId="0" fontId="4" fillId="4" borderId="14" xfId="0" applyNumberFormat="1" applyFont="1" applyFill="1" applyBorder="1"/>
    <xf numFmtId="165" fontId="3" fillId="0" borderId="9" xfId="0" applyNumberFormat="1" applyFont="1" applyBorder="1"/>
    <xf numFmtId="0" fontId="3" fillId="0" borderId="9" xfId="0" applyFont="1" applyBorder="1"/>
    <xf numFmtId="0" fontId="11" fillId="8" borderId="0" xfId="0" applyFont="1" applyFill="1"/>
    <xf numFmtId="0" fontId="11" fillId="3" borderId="0" xfId="0" applyFont="1" applyFill="1"/>
    <xf numFmtId="3" fontId="3" fillId="4" borderId="13" xfId="0" applyNumberFormat="1" applyFont="1" applyFill="1" applyBorder="1"/>
    <xf numFmtId="0" fontId="3" fillId="4" borderId="9" xfId="0" applyFont="1" applyFill="1" applyBorder="1"/>
    <xf numFmtId="165" fontId="3" fillId="4" borderId="9" xfId="0" applyNumberFormat="1" applyFont="1" applyFill="1" applyBorder="1"/>
    <xf numFmtId="0" fontId="4" fillId="4" borderId="9" xfId="0" quotePrefix="1" applyFont="1" applyFill="1" applyBorder="1"/>
    <xf numFmtId="3" fontId="3" fillId="3" borderId="13" xfId="0" quotePrefix="1" applyNumberFormat="1" applyFont="1" applyFill="1" applyBorder="1"/>
    <xf numFmtId="165" fontId="3" fillId="3" borderId="9" xfId="0" applyNumberFormat="1" applyFont="1" applyFill="1" applyBorder="1"/>
    <xf numFmtId="0" fontId="4" fillId="3" borderId="9" xfId="0" quotePrefix="1" applyFont="1" applyFill="1" applyBorder="1"/>
    <xf numFmtId="3" fontId="3" fillId="2" borderId="13" xfId="0" applyNumberFormat="1" applyFont="1" applyFill="1" applyBorder="1"/>
    <xf numFmtId="165" fontId="3" fillId="2" borderId="9" xfId="0" applyNumberFormat="1" applyFont="1" applyFill="1" applyBorder="1"/>
    <xf numFmtId="0" fontId="4" fillId="2" borderId="9" xfId="0" applyFont="1" applyFill="1" applyBorder="1"/>
    <xf numFmtId="3" fontId="4" fillId="4" borderId="15" xfId="0" quotePrefix="1" applyNumberFormat="1" applyFont="1" applyFill="1" applyBorder="1"/>
    <xf numFmtId="0" fontId="4" fillId="4" borderId="10" xfId="0" applyFont="1" applyFill="1" applyBorder="1"/>
    <xf numFmtId="3" fontId="4" fillId="3" borderId="15" xfId="0" quotePrefix="1" applyNumberFormat="1" applyFont="1" applyFill="1" applyBorder="1"/>
    <xf numFmtId="0" fontId="4" fillId="3" borderId="10" xfId="0" applyNumberFormat="1" applyFont="1" applyFill="1" applyBorder="1"/>
    <xf numFmtId="3" fontId="4" fillId="2" borderId="15" xfId="0" applyNumberFormat="1" applyFont="1" applyFill="1" applyBorder="1"/>
    <xf numFmtId="0" fontId="4" fillId="2" borderId="10" xfId="0" applyNumberFormat="1" applyFont="1" applyFill="1" applyBorder="1"/>
    <xf numFmtId="0" fontId="3" fillId="3" borderId="8" xfId="0" quotePrefix="1" applyFont="1" applyFill="1" applyBorder="1"/>
    <xf numFmtId="0" fontId="3" fillId="3" borderId="23" xfId="0" quotePrefix="1" applyFont="1" applyFill="1" applyBorder="1"/>
    <xf numFmtId="0" fontId="0" fillId="0" borderId="0" xfId="0" applyBorder="1"/>
    <xf numFmtId="9" fontId="4" fillId="3" borderId="5" xfId="1" applyFont="1" applyFill="1" applyBorder="1"/>
    <xf numFmtId="0" fontId="0" fillId="3" borderId="5" xfId="0" applyFill="1" applyBorder="1"/>
    <xf numFmtId="9" fontId="4" fillId="4" borderId="5" xfId="1" applyFont="1" applyFill="1" applyBorder="1"/>
    <xf numFmtId="0" fontId="0" fillId="4" borderId="5" xfId="0" applyFill="1" applyBorder="1"/>
    <xf numFmtId="9" fontId="4" fillId="2" borderId="5" xfId="1" applyFont="1" applyFill="1" applyBorder="1"/>
    <xf numFmtId="0" fontId="0" fillId="2" borderId="5" xfId="0" applyFill="1" applyBorder="1"/>
    <xf numFmtId="0" fontId="4" fillId="0" borderId="0" xfId="0" applyFont="1" applyFill="1" applyBorder="1" applyAlignment="1">
      <alignment horizontal="right"/>
    </xf>
    <xf numFmtId="0" fontId="3" fillId="3" borderId="9" xfId="0" quotePrefix="1" applyFont="1" applyFill="1" applyBorder="1"/>
    <xf numFmtId="0" fontId="4" fillId="0" borderId="0" xfId="0" applyFont="1" applyFill="1" applyBorder="1"/>
    <xf numFmtId="0" fontId="4" fillId="2" borderId="15" xfId="0" applyFont="1" applyFill="1" applyBorder="1" applyAlignment="1">
      <alignment horizontal="right"/>
    </xf>
    <xf numFmtId="0" fontId="0" fillId="2" borderId="10" xfId="0" applyFill="1" applyBorder="1"/>
    <xf numFmtId="0" fontId="4" fillId="3" borderId="15" xfId="0" applyFont="1" applyFill="1" applyBorder="1" applyAlignment="1">
      <alignment horizontal="right"/>
    </xf>
    <xf numFmtId="0" fontId="0" fillId="3" borderId="10" xfId="0" applyFill="1" applyBorder="1"/>
    <xf numFmtId="0" fontId="4" fillId="0" borderId="19" xfId="0" applyFont="1" applyFill="1" applyBorder="1" applyAlignment="1">
      <alignment horizontal="right"/>
    </xf>
    <xf numFmtId="9" fontId="4" fillId="2" borderId="24" xfId="1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19" xfId="0" applyBorder="1"/>
    <xf numFmtId="9" fontId="4" fillId="3" borderId="24" xfId="1" applyFont="1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23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9" fontId="4" fillId="2" borderId="8" xfId="1" applyFont="1" applyFill="1" applyBorder="1"/>
    <xf numFmtId="0" fontId="0" fillId="2" borderId="8" xfId="0" applyFill="1" applyBorder="1"/>
    <xf numFmtId="0" fontId="0" fillId="2" borderId="12" xfId="0" applyFill="1" applyBorder="1"/>
    <xf numFmtId="0" fontId="0" fillId="0" borderId="8" xfId="0" applyBorder="1"/>
    <xf numFmtId="0" fontId="3" fillId="3" borderId="11" xfId="0" quotePrefix="1" applyFont="1" applyFill="1" applyBorder="1"/>
    <xf numFmtId="9" fontId="4" fillId="3" borderId="8" xfId="1" applyFont="1" applyFill="1" applyBorder="1"/>
    <xf numFmtId="0" fontId="0" fillId="3" borderId="8" xfId="0" applyFill="1" applyBorder="1"/>
    <xf numFmtId="0" fontId="0" fillId="3" borderId="12" xfId="0" applyFill="1" applyBorder="1"/>
    <xf numFmtId="0" fontId="4" fillId="2" borderId="11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9" fontId="4" fillId="2" borderId="9" xfId="1" applyFont="1" applyFill="1" applyBorder="1"/>
    <xf numFmtId="0" fontId="0" fillId="2" borderId="9" xfId="0" applyFill="1" applyBorder="1"/>
    <xf numFmtId="0" fontId="0" fillId="2" borderId="14" xfId="0" applyFill="1" applyBorder="1"/>
    <xf numFmtId="0" fontId="0" fillId="0" borderId="9" xfId="0" applyBorder="1"/>
    <xf numFmtId="0" fontId="3" fillId="3" borderId="13" xfId="0" quotePrefix="1" applyFont="1" applyFill="1" applyBorder="1"/>
    <xf numFmtId="9" fontId="4" fillId="3" borderId="9" xfId="1" applyFont="1" applyFill="1" applyBorder="1"/>
    <xf numFmtId="0" fontId="0" fillId="3" borderId="9" xfId="0" applyFill="1" applyBorder="1"/>
    <xf numFmtId="0" fontId="0" fillId="3" borderId="14" xfId="0" applyFill="1" applyBorder="1"/>
    <xf numFmtId="0" fontId="4" fillId="2" borderId="13" xfId="0" applyFont="1" applyFill="1" applyBorder="1" applyAlignment="1">
      <alignment horizontal="right"/>
    </xf>
    <xf numFmtId="0" fontId="3" fillId="4" borderId="23" xfId="0" quotePrefix="1" applyFont="1" applyFill="1" applyBorder="1"/>
    <xf numFmtId="9" fontId="4" fillId="4" borderId="24" xfId="1" applyFont="1" applyFill="1" applyBorder="1"/>
    <xf numFmtId="0" fontId="0" fillId="4" borderId="24" xfId="0" applyFill="1" applyBorder="1"/>
    <xf numFmtId="0" fontId="0" fillId="4" borderId="25" xfId="0" applyFill="1" applyBorder="1"/>
    <xf numFmtId="0" fontId="3" fillId="4" borderId="11" xfId="0" quotePrefix="1" applyFont="1" applyFill="1" applyBorder="1"/>
    <xf numFmtId="9" fontId="4" fillId="4" borderId="8" xfId="1" applyFont="1" applyFill="1" applyBorder="1"/>
    <xf numFmtId="0" fontId="0" fillId="4" borderId="8" xfId="0" applyFill="1" applyBorder="1"/>
    <xf numFmtId="0" fontId="0" fillId="4" borderId="12" xfId="0" applyFill="1" applyBorder="1"/>
    <xf numFmtId="0" fontId="3" fillId="4" borderId="13" xfId="0" quotePrefix="1" applyFont="1" applyFill="1" applyBorder="1"/>
    <xf numFmtId="9" fontId="4" fillId="4" borderId="9" xfId="1" applyFont="1" applyFill="1" applyBorder="1"/>
    <xf numFmtId="0" fontId="0" fillId="4" borderId="9" xfId="0" applyFill="1" applyBorder="1"/>
    <xf numFmtId="0" fontId="0" fillId="4" borderId="14" xfId="0" applyFill="1" applyBorder="1"/>
    <xf numFmtId="0" fontId="4" fillId="4" borderId="15" xfId="0" applyFont="1" applyFill="1" applyBorder="1" applyAlignment="1">
      <alignment horizontal="right"/>
    </xf>
    <xf numFmtId="0" fontId="0" fillId="4" borderId="10" xfId="0" applyFill="1" applyBorder="1"/>
    <xf numFmtId="0" fontId="6" fillId="7" borderId="1" xfId="0" applyFont="1" applyFill="1" applyBorder="1"/>
    <xf numFmtId="0" fontId="6" fillId="7" borderId="7" xfId="0" applyFont="1" applyFill="1" applyBorder="1"/>
    <xf numFmtId="0" fontId="6" fillId="7" borderId="2" xfId="0" applyFont="1" applyFill="1" applyBorder="1"/>
    <xf numFmtId="0" fontId="1" fillId="0" borderId="0" xfId="0" applyFont="1"/>
    <xf numFmtId="0" fontId="6" fillId="6" borderId="1" xfId="0" applyFont="1" applyFill="1" applyBorder="1"/>
    <xf numFmtId="0" fontId="12" fillId="6" borderId="7" xfId="0" applyFont="1" applyFill="1" applyBorder="1"/>
    <xf numFmtId="165" fontId="12" fillId="6" borderId="7" xfId="0" applyNumberFormat="1" applyFont="1" applyFill="1" applyBorder="1"/>
    <xf numFmtId="0" fontId="12" fillId="6" borderId="2" xfId="0" applyFont="1" applyFill="1" applyBorder="1"/>
    <xf numFmtId="0" fontId="12" fillId="0" borderId="0" xfId="0" applyFont="1"/>
    <xf numFmtId="0" fontId="6" fillId="5" borderId="1" xfId="0" applyFont="1" applyFill="1" applyBorder="1"/>
    <xf numFmtId="0" fontId="12" fillId="5" borderId="7" xfId="0" applyFont="1" applyFill="1" applyBorder="1"/>
    <xf numFmtId="0" fontId="4" fillId="0" borderId="5" xfId="0" applyFont="1" applyBorder="1" applyAlignment="1">
      <alignment horizontal="left"/>
    </xf>
    <xf numFmtId="0" fontId="4" fillId="0" borderId="19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6" fillId="7" borderId="3" xfId="0" applyFont="1" applyFill="1" applyBorder="1"/>
    <xf numFmtId="0" fontId="6" fillId="7" borderId="0" xfId="0" applyFont="1" applyFill="1" applyBorder="1"/>
    <xf numFmtId="0" fontId="6" fillId="7" borderId="4" xfId="0" applyFont="1" applyFill="1" applyBorder="1"/>
    <xf numFmtId="0" fontId="6" fillId="6" borderId="3" xfId="0" applyFont="1" applyFill="1" applyBorder="1"/>
    <xf numFmtId="0" fontId="12" fillId="6" borderId="0" xfId="0" applyFont="1" applyFill="1" applyBorder="1"/>
    <xf numFmtId="0" fontId="12" fillId="6" borderId="4" xfId="0" applyFont="1" applyFill="1" applyBorder="1"/>
    <xf numFmtId="0" fontId="6" fillId="5" borderId="3" xfId="0" applyFont="1" applyFill="1" applyBorder="1"/>
    <xf numFmtId="0" fontId="12" fillId="5" borderId="0" xfId="0" applyFont="1" applyFill="1" applyBorder="1"/>
    <xf numFmtId="0" fontId="0" fillId="5" borderId="4" xfId="0" applyFill="1" applyBorder="1"/>
    <xf numFmtId="0" fontId="2" fillId="8" borderId="0" xfId="0" applyFont="1" applyFill="1" applyAlignment="1">
      <alignment horizontal="right"/>
    </xf>
    <xf numFmtId="0" fontId="4" fillId="0" borderId="0" xfId="0" applyFont="1" applyFill="1" applyProtection="1"/>
    <xf numFmtId="9" fontId="6" fillId="7" borderId="0" xfId="0" applyNumberFormat="1" applyFont="1" applyFill="1" applyBorder="1"/>
    <xf numFmtId="0" fontId="6" fillId="6" borderId="0" xfId="0" applyFont="1" applyFill="1" applyBorder="1"/>
    <xf numFmtId="0" fontId="6" fillId="5" borderId="0" xfId="0" applyFont="1" applyFill="1" applyBorder="1"/>
    <xf numFmtId="9" fontId="6" fillId="5" borderId="0" xfId="1" applyFont="1" applyFill="1" applyBorder="1"/>
    <xf numFmtId="9" fontId="6" fillId="6" borderId="0" xfId="1" applyFont="1" applyFill="1" applyBorder="1"/>
    <xf numFmtId="0" fontId="9" fillId="9" borderId="26" xfId="0" applyFont="1" applyFill="1" applyBorder="1" applyAlignment="1" applyProtection="1">
      <alignment horizontal="center"/>
      <protection locked="0"/>
    </xf>
    <xf numFmtId="0" fontId="9" fillId="10" borderId="27" xfId="0" applyFont="1" applyFill="1" applyBorder="1" applyAlignment="1" applyProtection="1">
      <alignment horizontal="center"/>
      <protection locked="0"/>
    </xf>
    <xf numFmtId="0" fontId="9" fillId="9" borderId="27" xfId="0" applyFont="1" applyFill="1" applyBorder="1" applyAlignment="1" applyProtection="1">
      <alignment horizontal="center"/>
      <protection locked="0"/>
    </xf>
    <xf numFmtId="0" fontId="9" fillId="9" borderId="28" xfId="0" applyFont="1" applyFill="1" applyBorder="1" applyAlignment="1" applyProtection="1">
      <alignment horizontal="center"/>
      <protection locked="0"/>
    </xf>
    <xf numFmtId="0" fontId="9" fillId="10" borderId="29" xfId="0" applyFont="1" applyFill="1" applyBorder="1" applyAlignment="1" applyProtection="1">
      <alignment horizontal="center"/>
      <protection locked="0"/>
    </xf>
    <xf numFmtId="0" fontId="9" fillId="9" borderId="29" xfId="0" applyFont="1" applyFill="1" applyBorder="1" applyAlignment="1" applyProtection="1">
      <alignment horizontal="center"/>
      <protection locked="0"/>
    </xf>
    <xf numFmtId="0" fontId="13" fillId="10" borderId="32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center"/>
    </xf>
    <xf numFmtId="0" fontId="10" fillId="10" borderId="34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quotePrefix="1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4" fillId="0" borderId="0" xfId="0" applyFont="1" applyBorder="1"/>
    <xf numFmtId="3" fontId="3" fillId="4" borderId="11" xfId="0" quotePrefix="1" applyNumberFormat="1" applyFont="1" applyFill="1" applyBorder="1"/>
    <xf numFmtId="0" fontId="6" fillId="11" borderId="1" xfId="0" applyFont="1" applyFill="1" applyBorder="1"/>
    <xf numFmtId="0" fontId="6" fillId="11" borderId="7" xfId="0" applyFont="1" applyFill="1" applyBorder="1"/>
    <xf numFmtId="0" fontId="6" fillId="11" borderId="2" xfId="0" applyFont="1" applyFill="1" applyBorder="1"/>
    <xf numFmtId="0" fontId="6" fillId="11" borderId="3" xfId="0" applyFont="1" applyFill="1" applyBorder="1"/>
    <xf numFmtId="9" fontId="6" fillId="11" borderId="0" xfId="0" applyNumberFormat="1" applyFont="1" applyFill="1" applyBorder="1"/>
    <xf numFmtId="0" fontId="6" fillId="11" borderId="0" xfId="0" applyFont="1" applyFill="1" applyBorder="1"/>
    <xf numFmtId="0" fontId="6" fillId="11" borderId="4" xfId="0" applyFont="1" applyFill="1" applyBorder="1"/>
    <xf numFmtId="0" fontId="4" fillId="12" borderId="3" xfId="0" applyFont="1" applyFill="1" applyBorder="1" applyAlignment="1"/>
    <xf numFmtId="0" fontId="4" fillId="12" borderId="0" xfId="0" applyFont="1" applyFill="1" applyBorder="1" applyAlignment="1"/>
    <xf numFmtId="0" fontId="4" fillId="12" borderId="0" xfId="0" applyFont="1" applyFill="1" applyBorder="1" applyAlignment="1">
      <alignment horizontal="right"/>
    </xf>
    <xf numFmtId="0" fontId="4" fillId="12" borderId="4" xfId="0" applyFont="1" applyFill="1" applyBorder="1" applyAlignment="1"/>
    <xf numFmtId="0" fontId="4" fillId="12" borderId="3" xfId="0" applyFont="1" applyFill="1" applyBorder="1" applyAlignment="1">
      <alignment horizontal="right"/>
    </xf>
    <xf numFmtId="0" fontId="4" fillId="12" borderId="4" xfId="0" applyFont="1" applyFill="1" applyBorder="1" applyAlignment="1">
      <alignment horizontal="right"/>
    </xf>
    <xf numFmtId="3" fontId="3" fillId="12" borderId="11" xfId="0" quotePrefix="1" applyNumberFormat="1" applyFont="1" applyFill="1" applyBorder="1"/>
    <xf numFmtId="165" fontId="3" fillId="12" borderId="21" xfId="0" applyNumberFormat="1" applyFont="1" applyFill="1" applyBorder="1"/>
    <xf numFmtId="0" fontId="4" fillId="12" borderId="21" xfId="0" quotePrefix="1" applyFont="1" applyFill="1" applyBorder="1"/>
    <xf numFmtId="0" fontId="4" fillId="12" borderId="22" xfId="0" applyNumberFormat="1" applyFont="1" applyFill="1" applyBorder="1"/>
    <xf numFmtId="165" fontId="3" fillId="12" borderId="8" xfId="0" applyNumberFormat="1" applyFont="1" applyFill="1" applyBorder="1"/>
    <xf numFmtId="0" fontId="4" fillId="12" borderId="8" xfId="0" quotePrefix="1" applyFont="1" applyFill="1" applyBorder="1"/>
    <xf numFmtId="0" fontId="4" fillId="12" borderId="12" xfId="0" applyNumberFormat="1" applyFont="1" applyFill="1" applyBorder="1"/>
    <xf numFmtId="165" fontId="3" fillId="12" borderId="9" xfId="0" applyNumberFormat="1" applyFont="1" applyFill="1" applyBorder="1"/>
    <xf numFmtId="0" fontId="4" fillId="12" borderId="9" xfId="0" quotePrefix="1" applyFont="1" applyFill="1" applyBorder="1"/>
    <xf numFmtId="0" fontId="4" fillId="12" borderId="14" xfId="0" applyNumberFormat="1" applyFont="1" applyFill="1" applyBorder="1"/>
    <xf numFmtId="3" fontId="4" fillId="12" borderId="15" xfId="0" quotePrefix="1" applyNumberFormat="1" applyFont="1" applyFill="1" applyBorder="1"/>
    <xf numFmtId="0" fontId="4" fillId="12" borderId="5" xfId="0" applyFont="1" applyFill="1" applyBorder="1"/>
    <xf numFmtId="165" fontId="4" fillId="12" borderId="5" xfId="0" applyNumberFormat="1" applyFont="1" applyFill="1" applyBorder="1"/>
    <xf numFmtId="0" fontId="4" fillId="12" borderId="10" xfId="0" applyFont="1" applyFill="1" applyBorder="1"/>
    <xf numFmtId="0" fontId="3" fillId="12" borderId="23" xfId="0" quotePrefix="1" applyFont="1" applyFill="1" applyBorder="1"/>
    <xf numFmtId="9" fontId="4" fillId="12" borderId="24" xfId="1" applyFont="1" applyFill="1" applyBorder="1"/>
    <xf numFmtId="0" fontId="0" fillId="12" borderId="24" xfId="0" applyFill="1" applyBorder="1"/>
    <xf numFmtId="0" fontId="0" fillId="12" borderId="25" xfId="0" applyFill="1" applyBorder="1"/>
    <xf numFmtId="0" fontId="3" fillId="12" borderId="11" xfId="0" quotePrefix="1" applyFont="1" applyFill="1" applyBorder="1"/>
    <xf numFmtId="9" fontId="4" fillId="12" borderId="8" xfId="1" applyFont="1" applyFill="1" applyBorder="1"/>
    <xf numFmtId="0" fontId="0" fillId="12" borderId="8" xfId="0" applyFill="1" applyBorder="1"/>
    <xf numFmtId="0" fontId="0" fillId="12" borderId="12" xfId="0" applyFill="1" applyBorder="1"/>
    <xf numFmtId="0" fontId="3" fillId="12" borderId="13" xfId="0" quotePrefix="1" applyFont="1" applyFill="1" applyBorder="1"/>
    <xf numFmtId="9" fontId="4" fillId="12" borderId="9" xfId="1" applyFont="1" applyFill="1" applyBorder="1"/>
    <xf numFmtId="0" fontId="0" fillId="12" borderId="9" xfId="0" applyFill="1" applyBorder="1"/>
    <xf numFmtId="0" fontId="0" fillId="12" borderId="14" xfId="0" applyFill="1" applyBorder="1"/>
    <xf numFmtId="0" fontId="4" fillId="12" borderId="15" xfId="0" applyFont="1" applyFill="1" applyBorder="1" applyAlignment="1">
      <alignment horizontal="right"/>
    </xf>
    <xf numFmtId="9" fontId="4" fillId="12" borderId="5" xfId="1" applyFont="1" applyFill="1" applyBorder="1"/>
    <xf numFmtId="0" fontId="0" fillId="12" borderId="5" xfId="0" applyFill="1" applyBorder="1"/>
    <xf numFmtId="0" fontId="0" fillId="12" borderId="10" xfId="0" applyFill="1" applyBorder="1"/>
    <xf numFmtId="0" fontId="6" fillId="13" borderId="1" xfId="0" applyFont="1" applyFill="1" applyBorder="1"/>
    <xf numFmtId="0" fontId="12" fillId="13" borderId="7" xfId="0" applyFont="1" applyFill="1" applyBorder="1"/>
    <xf numFmtId="165" fontId="12" fillId="13" borderId="7" xfId="0" applyNumberFormat="1" applyFont="1" applyFill="1" applyBorder="1"/>
    <xf numFmtId="0" fontId="12" fillId="13" borderId="2" xfId="0" applyFont="1" applyFill="1" applyBorder="1"/>
    <xf numFmtId="0" fontId="6" fillId="13" borderId="3" xfId="0" applyFont="1" applyFill="1" applyBorder="1"/>
    <xf numFmtId="0" fontId="12" fillId="13" borderId="0" xfId="0" applyFont="1" applyFill="1" applyBorder="1"/>
    <xf numFmtId="9" fontId="6" fillId="13" borderId="0" xfId="1" applyFont="1" applyFill="1" applyBorder="1"/>
    <xf numFmtId="0" fontId="6" fillId="13" borderId="0" xfId="0" applyFont="1" applyFill="1" applyBorder="1"/>
    <xf numFmtId="0" fontId="12" fillId="13" borderId="4" xfId="0" applyFont="1" applyFill="1" applyBorder="1"/>
    <xf numFmtId="0" fontId="4" fillId="14" borderId="3" xfId="0" applyFont="1" applyFill="1" applyBorder="1" applyAlignment="1"/>
    <xf numFmtId="0" fontId="4" fillId="14" borderId="0" xfId="0" applyFont="1" applyFill="1" applyBorder="1" applyAlignment="1"/>
    <xf numFmtId="0" fontId="4" fillId="14" borderId="0" xfId="0" applyFont="1" applyFill="1" applyBorder="1" applyAlignment="1">
      <alignment horizontal="right"/>
    </xf>
    <xf numFmtId="0" fontId="4" fillId="14" borderId="4" xfId="0" applyFont="1" applyFill="1" applyBorder="1" applyAlignment="1"/>
    <xf numFmtId="0" fontId="4" fillId="14" borderId="3" xfId="0" applyFont="1" applyFill="1" applyBorder="1" applyAlignment="1">
      <alignment horizontal="right"/>
    </xf>
    <xf numFmtId="0" fontId="4" fillId="14" borderId="4" xfId="0" applyFont="1" applyFill="1" applyBorder="1" applyAlignment="1">
      <alignment horizontal="right"/>
    </xf>
    <xf numFmtId="165" fontId="3" fillId="14" borderId="8" xfId="0" applyNumberFormat="1" applyFont="1" applyFill="1" applyBorder="1"/>
    <xf numFmtId="0" fontId="4" fillId="14" borderId="8" xfId="0" quotePrefix="1" applyFont="1" applyFill="1" applyBorder="1"/>
    <xf numFmtId="0" fontId="4" fillId="14" borderId="12" xfId="0" applyNumberFormat="1" applyFont="1" applyFill="1" applyBorder="1"/>
    <xf numFmtId="165" fontId="3" fillId="14" borderId="9" xfId="0" applyNumberFormat="1" applyFont="1" applyFill="1" applyBorder="1"/>
    <xf numFmtId="0" fontId="4" fillId="14" borderId="9" xfId="0" quotePrefix="1" applyFont="1" applyFill="1" applyBorder="1"/>
    <xf numFmtId="0" fontId="4" fillId="14" borderId="14" xfId="0" applyNumberFormat="1" applyFont="1" applyFill="1" applyBorder="1"/>
    <xf numFmtId="3" fontId="4" fillId="14" borderId="15" xfId="0" quotePrefix="1" applyNumberFormat="1" applyFont="1" applyFill="1" applyBorder="1"/>
    <xf numFmtId="0" fontId="4" fillId="14" borderId="5" xfId="0" applyFont="1" applyFill="1" applyBorder="1"/>
    <xf numFmtId="165" fontId="4" fillId="14" borderId="5" xfId="0" applyNumberFormat="1" applyFont="1" applyFill="1" applyBorder="1"/>
    <xf numFmtId="0" fontId="4" fillId="14" borderId="10" xfId="0" applyNumberFormat="1" applyFont="1" applyFill="1" applyBorder="1"/>
    <xf numFmtId="0" fontId="3" fillId="14" borderId="23" xfId="0" quotePrefix="1" applyFont="1" applyFill="1" applyBorder="1"/>
    <xf numFmtId="9" fontId="4" fillId="14" borderId="24" xfId="1" applyFont="1" applyFill="1" applyBorder="1"/>
    <xf numFmtId="0" fontId="0" fillId="14" borderId="24" xfId="0" applyFill="1" applyBorder="1"/>
    <xf numFmtId="0" fontId="0" fillId="14" borderId="25" xfId="0" applyFill="1" applyBorder="1"/>
    <xf numFmtId="0" fontId="3" fillId="14" borderId="11" xfId="0" quotePrefix="1" applyFont="1" applyFill="1" applyBorder="1"/>
    <xf numFmtId="9" fontId="4" fillId="14" borderId="8" xfId="1" applyFont="1" applyFill="1" applyBorder="1"/>
    <xf numFmtId="0" fontId="0" fillId="14" borderId="8" xfId="0" applyFill="1" applyBorder="1"/>
    <xf numFmtId="0" fontId="0" fillId="14" borderId="12" xfId="0" applyFill="1" applyBorder="1"/>
    <xf numFmtId="0" fontId="3" fillId="14" borderId="13" xfId="0" quotePrefix="1" applyFont="1" applyFill="1" applyBorder="1"/>
    <xf numFmtId="9" fontId="4" fillId="14" borderId="9" xfId="1" applyFont="1" applyFill="1" applyBorder="1"/>
    <xf numFmtId="0" fontId="0" fillId="14" borderId="9" xfId="0" applyFill="1" applyBorder="1"/>
    <xf numFmtId="0" fontId="0" fillId="14" borderId="14" xfId="0" applyFill="1" applyBorder="1"/>
    <xf numFmtId="0" fontId="4" fillId="14" borderId="15" xfId="0" applyFont="1" applyFill="1" applyBorder="1" applyAlignment="1">
      <alignment horizontal="right"/>
    </xf>
    <xf numFmtId="9" fontId="4" fillId="14" borderId="5" xfId="1" applyFont="1" applyFill="1" applyBorder="1"/>
    <xf numFmtId="0" fontId="0" fillId="14" borderId="5" xfId="0" applyFill="1" applyBorder="1"/>
    <xf numFmtId="0" fontId="0" fillId="14" borderId="10" xfId="0" applyFill="1" applyBorder="1"/>
    <xf numFmtId="0" fontId="3" fillId="12" borderId="36" xfId="0" quotePrefix="1" applyFont="1" applyFill="1" applyBorder="1"/>
    <xf numFmtId="0" fontId="3" fillId="12" borderId="19" xfId="0" quotePrefix="1" applyFont="1" applyFill="1" applyBorder="1"/>
    <xf numFmtId="0" fontId="3" fillId="12" borderId="8" xfId="0" quotePrefix="1" applyFont="1" applyFill="1" applyBorder="1"/>
    <xf numFmtId="3" fontId="3" fillId="14" borderId="37" xfId="0" quotePrefix="1" applyNumberFormat="1" applyFont="1" applyFill="1" applyBorder="1"/>
    <xf numFmtId="0" fontId="3" fillId="14" borderId="36" xfId="0" quotePrefix="1" applyFont="1" applyFill="1" applyBorder="1"/>
    <xf numFmtId="3" fontId="3" fillId="14" borderId="38" xfId="0" quotePrefix="1" applyNumberFormat="1" applyFont="1" applyFill="1" applyBorder="1"/>
    <xf numFmtId="0" fontId="3" fillId="14" borderId="19" xfId="0" quotePrefix="1" applyFont="1" applyFill="1" applyBorder="1"/>
    <xf numFmtId="3" fontId="3" fillId="14" borderId="11" xfId="0" quotePrefix="1" applyNumberFormat="1" applyFont="1" applyFill="1" applyBorder="1"/>
    <xf numFmtId="0" fontId="3" fillId="14" borderId="8" xfId="0" quotePrefix="1" applyFont="1" applyFill="1" applyBorder="1"/>
    <xf numFmtId="164" fontId="10" fillId="10" borderId="0" xfId="0" applyNumberFormat="1" applyFont="1" applyFill="1" applyBorder="1" applyAlignment="1" applyProtection="1">
      <alignment horizontal="center"/>
      <protection locked="0"/>
    </xf>
    <xf numFmtId="165" fontId="3" fillId="8" borderId="5" xfId="0" applyNumberFormat="1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164" fontId="10" fillId="10" borderId="0" xfId="0" applyNumberFormat="1" applyFont="1" applyFill="1" applyBorder="1" applyAlignment="1" applyProtection="1">
      <alignment horizontal="center"/>
      <protection locked="0"/>
    </xf>
    <xf numFmtId="0" fontId="2" fillId="8" borderId="0" xfId="0" applyFont="1" applyFill="1" applyAlignment="1">
      <alignment horizontal="right" wrapText="1"/>
    </xf>
    <xf numFmtId="165" fontId="3" fillId="0" borderId="0" xfId="0" applyNumberFormat="1" applyFont="1"/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0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164" fontId="16" fillId="10" borderId="0" xfId="2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left"/>
    </xf>
    <xf numFmtId="165" fontId="3" fillId="0" borderId="8" xfId="0" applyNumberFormat="1" applyFont="1" applyFill="1" applyBorder="1"/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1" fontId="14" fillId="0" borderId="4" xfId="0" applyNumberFormat="1" applyFont="1" applyBorder="1" applyAlignment="1">
      <alignment horizontal="center"/>
    </xf>
    <xf numFmtId="1" fontId="3" fillId="0" borderId="19" xfId="0" applyNumberFormat="1" applyFont="1" applyFill="1" applyBorder="1" applyAlignment="1">
      <alignment horizontal="right" indent="1"/>
    </xf>
    <xf numFmtId="164" fontId="15" fillId="10" borderId="0" xfId="2" applyNumberFormat="1" applyFill="1" applyBorder="1" applyAlignment="1" applyProtection="1">
      <alignment horizontal="center"/>
      <protection locked="0"/>
    </xf>
    <xf numFmtId="0" fontId="1" fillId="15" borderId="0" xfId="0" applyFont="1" applyFill="1"/>
    <xf numFmtId="0" fontId="0" fillId="15" borderId="0" xfId="0" applyFill="1"/>
    <xf numFmtId="0" fontId="10" fillId="8" borderId="1" xfId="0" applyFont="1" applyFill="1" applyBorder="1" applyAlignment="1" applyProtection="1">
      <alignment horizontal="center"/>
      <protection locked="0"/>
    </xf>
    <xf numFmtId="0" fontId="10" fillId="8" borderId="7" xfId="0" applyFont="1" applyFill="1" applyBorder="1" applyAlignment="1" applyProtection="1">
      <alignment horizontal="center"/>
      <protection locked="0"/>
    </xf>
    <xf numFmtId="0" fontId="10" fillId="8" borderId="2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8" borderId="0" xfId="0" applyNumberFormat="1" applyFont="1" applyFill="1" applyBorder="1" applyAlignment="1" applyProtection="1">
      <alignment horizontal="center"/>
      <protection locked="0"/>
    </xf>
    <xf numFmtId="164" fontId="10" fillId="8" borderId="4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0" fillId="10" borderId="1" xfId="0" applyFont="1" applyFill="1" applyBorder="1" applyAlignment="1" applyProtection="1">
      <alignment horizontal="center"/>
      <protection locked="0"/>
    </xf>
    <xf numFmtId="0" fontId="10" fillId="10" borderId="7" xfId="0" applyFont="1" applyFill="1" applyBorder="1" applyAlignment="1" applyProtection="1">
      <alignment horizontal="center"/>
      <protection locked="0"/>
    </xf>
    <xf numFmtId="0" fontId="10" fillId="10" borderId="30" xfId="0" applyFont="1" applyFill="1" applyBorder="1" applyAlignment="1" applyProtection="1">
      <alignment horizontal="center"/>
      <protection locked="0"/>
    </xf>
    <xf numFmtId="164" fontId="10" fillId="10" borderId="3" xfId="0" applyNumberFormat="1" applyFont="1" applyFill="1" applyBorder="1" applyAlignment="1" applyProtection="1">
      <alignment horizontal="center"/>
      <protection locked="0"/>
    </xf>
    <xf numFmtId="164" fontId="10" fillId="10" borderId="0" xfId="0" applyNumberFormat="1" applyFont="1" applyFill="1" applyBorder="1" applyAlignment="1" applyProtection="1">
      <alignment horizontal="center"/>
      <protection locked="0"/>
    </xf>
    <xf numFmtId="164" fontId="10" fillId="10" borderId="31" xfId="0" applyNumberFormat="1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10" borderId="3" xfId="0" applyFont="1" applyFill="1" applyBorder="1" applyAlignment="1" applyProtection="1">
      <alignment horizontal="center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10" fillId="10" borderId="31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8" borderId="3" xfId="0" applyFont="1" applyFill="1" applyBorder="1" applyAlignment="1" applyProtection="1">
      <alignment horizontal="center"/>
      <protection locked="0"/>
    </xf>
    <xf numFmtId="0" fontId="10" fillId="8" borderId="0" xfId="0" applyFont="1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22" fontId="1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22" fontId="1" fillId="0" borderId="0" xfId="0" applyNumberFormat="1" applyFont="1" applyAlignment="1">
      <alignment horizontal="left"/>
    </xf>
    <xf numFmtId="164" fontId="17" fillId="8" borderId="4" xfId="0" applyNumberFormat="1" applyFont="1" applyFill="1" applyBorder="1" applyAlignment="1" applyProtection="1">
      <alignment horizontal="center"/>
      <protection locked="0"/>
    </xf>
    <xf numFmtId="164" fontId="17" fillId="8" borderId="3" xfId="0" applyNumberFormat="1" applyFont="1" applyFill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433"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9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theme="0" tint="-4.9989318521683403E-2"/>
      </font>
    </dxf>
    <dxf>
      <font>
        <color theme="5" tint="0.79998168889431442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7" tint="0.79998168889431442"/>
      </font>
    </dxf>
    <dxf>
      <font>
        <color theme="9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7" tint="0.79998168889431442"/>
      </font>
    </dxf>
    <dxf>
      <font>
        <color theme="7" tint="0.79998168889431442"/>
      </font>
    </dxf>
    <dxf>
      <font>
        <color theme="9" tint="0.79998168889431442"/>
      </font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Cumulative Averages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Trends!$A$4</c:f>
              <c:strCache>
                <c:ptCount val="1"/>
                <c:pt idx="0">
                  <c:v>Dave E (Doc)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Trends!$B$4:$V$4</c:f>
              <c:numCache>
                <c:formatCode>0.0</c:formatCode>
                <c:ptCount val="21"/>
                <c:pt idx="0">
                  <c:v>42</c:v>
                </c:pt>
                <c:pt idx="1">
                  <c:v>44</c:v>
                </c:pt>
                <c:pt idx="2">
                  <c:v>44</c:v>
                </c:pt>
                <c:pt idx="3">
                  <c:v>44.7</c:v>
                </c:pt>
                <c:pt idx="4">
                  <c:v>44.7</c:v>
                </c:pt>
                <c:pt idx="5">
                  <c:v>44.7</c:v>
                </c:pt>
                <c:pt idx="6">
                  <c:v>44.5</c:v>
                </c:pt>
                <c:pt idx="7">
                  <c:v>43.8</c:v>
                </c:pt>
                <c:pt idx="8">
                  <c:v>43.8</c:v>
                </c:pt>
                <c:pt idx="9">
                  <c:v>43.8</c:v>
                </c:pt>
                <c:pt idx="10">
                  <c:v>44</c:v>
                </c:pt>
                <c:pt idx="11">
                  <c:v>44.4</c:v>
                </c:pt>
                <c:pt idx="12">
                  <c:v>44.4</c:v>
                </c:pt>
                <c:pt idx="13">
                  <c:v>44.1</c:v>
                </c:pt>
                <c:pt idx="14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B-B343-B7F1-B75393FDF2B3}"/>
            </c:ext>
          </c:extLst>
        </c:ser>
        <c:ser>
          <c:idx val="1"/>
          <c:order val="1"/>
          <c:tx>
            <c:strRef>
              <c:f>Trends!$A$5</c:f>
              <c:strCache>
                <c:ptCount val="1"/>
                <c:pt idx="0">
                  <c:v>Dash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Trends!$B$5:$V$5</c:f>
              <c:numCache>
                <c:formatCode>0.0</c:formatCode>
                <c:ptCount val="21"/>
                <c:pt idx="0">
                  <c:v>43</c:v>
                </c:pt>
                <c:pt idx="1">
                  <c:v>48</c:v>
                </c:pt>
                <c:pt idx="2">
                  <c:v>46</c:v>
                </c:pt>
                <c:pt idx="3">
                  <c:v>46</c:v>
                </c:pt>
                <c:pt idx="4">
                  <c:v>45.3</c:v>
                </c:pt>
                <c:pt idx="5">
                  <c:v>45.3</c:v>
                </c:pt>
                <c:pt idx="6">
                  <c:v>44</c:v>
                </c:pt>
                <c:pt idx="7">
                  <c:v>43.5</c:v>
                </c:pt>
                <c:pt idx="8">
                  <c:v>46</c:v>
                </c:pt>
                <c:pt idx="9">
                  <c:v>45.9</c:v>
                </c:pt>
                <c:pt idx="10">
                  <c:v>45.9</c:v>
                </c:pt>
                <c:pt idx="11">
                  <c:v>46.4</c:v>
                </c:pt>
                <c:pt idx="12">
                  <c:v>46.4</c:v>
                </c:pt>
                <c:pt idx="13">
                  <c:v>46.1</c:v>
                </c:pt>
                <c:pt idx="14">
                  <c:v>46.1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B-B343-B7F1-B75393FDF2B3}"/>
            </c:ext>
          </c:extLst>
        </c:ser>
        <c:ser>
          <c:idx val="2"/>
          <c:order val="2"/>
          <c:tx>
            <c:strRef>
              <c:f>Trends!$A$6</c:f>
              <c:strCache>
                <c:ptCount val="1"/>
                <c:pt idx="0">
                  <c:v>John 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Trends!$B$6:$V$6</c:f>
              <c:numCache>
                <c:formatCode>0.0</c:formatCode>
                <c:ptCount val="21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56.5</c:v>
                </c:pt>
                <c:pt idx="4">
                  <c:v>56.5</c:v>
                </c:pt>
                <c:pt idx="5">
                  <c:v>56.5</c:v>
                </c:pt>
                <c:pt idx="6">
                  <c:v>56.5</c:v>
                </c:pt>
                <c:pt idx="7">
                  <c:v>56.5</c:v>
                </c:pt>
                <c:pt idx="8">
                  <c:v>56.7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51.2</c:v>
                </c:pt>
                <c:pt idx="13">
                  <c:v>50.3</c:v>
                </c:pt>
                <c:pt idx="1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1B-B343-B7F1-B75393FDF2B3}"/>
            </c:ext>
          </c:extLst>
        </c:ser>
        <c:ser>
          <c:idx val="3"/>
          <c:order val="3"/>
          <c:tx>
            <c:strRef>
              <c:f>Trends!$A$7</c:f>
              <c:strCache>
                <c:ptCount val="1"/>
                <c:pt idx="0">
                  <c:v>Lyndon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Trends!$B$7:$V$7</c:f>
              <c:numCache>
                <c:formatCode>0.0</c:formatCode>
                <c:ptCount val="21"/>
                <c:pt idx="0">
                  <c:v>47</c:v>
                </c:pt>
                <c:pt idx="1">
                  <c:v>47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46</c:v>
                </c:pt>
                <c:pt idx="6">
                  <c:v>46.3</c:v>
                </c:pt>
                <c:pt idx="7">
                  <c:v>45.2</c:v>
                </c:pt>
                <c:pt idx="8">
                  <c:v>45.2</c:v>
                </c:pt>
                <c:pt idx="9">
                  <c:v>46.8</c:v>
                </c:pt>
                <c:pt idx="10">
                  <c:v>46.8</c:v>
                </c:pt>
                <c:pt idx="11">
                  <c:v>46.8</c:v>
                </c:pt>
                <c:pt idx="12">
                  <c:v>46.8</c:v>
                </c:pt>
                <c:pt idx="13">
                  <c:v>46.8</c:v>
                </c:pt>
                <c:pt idx="14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1B-B343-B7F1-B75393FDF2B3}"/>
            </c:ext>
          </c:extLst>
        </c:ser>
        <c:ser>
          <c:idx val="4"/>
          <c:order val="4"/>
          <c:tx>
            <c:strRef>
              <c:f>Trends!$A$8</c:f>
              <c:strCache>
                <c:ptCount val="1"/>
                <c:pt idx="0">
                  <c:v>Rich 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Trends!$B$8:$V$8</c:f>
              <c:numCache>
                <c:formatCode>0.0</c:formatCode>
                <c:ptCount val="21"/>
                <c:pt idx="0">
                  <c:v>65</c:v>
                </c:pt>
                <c:pt idx="1">
                  <c:v>55.5</c:v>
                </c:pt>
                <c:pt idx="2">
                  <c:v>51</c:v>
                </c:pt>
                <c:pt idx="3">
                  <c:v>51</c:v>
                </c:pt>
                <c:pt idx="4">
                  <c:v>50.6</c:v>
                </c:pt>
                <c:pt idx="5">
                  <c:v>50</c:v>
                </c:pt>
                <c:pt idx="6">
                  <c:v>49.3</c:v>
                </c:pt>
                <c:pt idx="7">
                  <c:v>50</c:v>
                </c:pt>
                <c:pt idx="8">
                  <c:v>50.3</c:v>
                </c:pt>
                <c:pt idx="9">
                  <c:v>49.8</c:v>
                </c:pt>
                <c:pt idx="10">
                  <c:v>48.9</c:v>
                </c:pt>
                <c:pt idx="11">
                  <c:v>48.3</c:v>
                </c:pt>
                <c:pt idx="12">
                  <c:v>48.8</c:v>
                </c:pt>
                <c:pt idx="13">
                  <c:v>48.6</c:v>
                </c:pt>
                <c:pt idx="1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1B-B343-B7F1-B75393FDF2B3}"/>
            </c:ext>
          </c:extLst>
        </c:ser>
        <c:ser>
          <c:idx val="5"/>
          <c:order val="5"/>
          <c:tx>
            <c:strRef>
              <c:f>Trends!$A$9</c:f>
              <c:strCache>
                <c:ptCount val="1"/>
                <c:pt idx="0">
                  <c:v>Steve 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Trends!$B$9:$V$9</c:f>
              <c:numCache>
                <c:formatCode>0.0</c:formatCode>
                <c:ptCount val="21"/>
                <c:pt idx="0">
                  <c:v>58</c:v>
                </c:pt>
                <c:pt idx="1">
                  <c:v>51.5</c:v>
                </c:pt>
                <c:pt idx="2">
                  <c:v>50.7</c:v>
                </c:pt>
                <c:pt idx="3">
                  <c:v>48.3</c:v>
                </c:pt>
                <c:pt idx="4">
                  <c:v>47.4</c:v>
                </c:pt>
                <c:pt idx="5">
                  <c:v>49</c:v>
                </c:pt>
                <c:pt idx="6">
                  <c:v>48.7</c:v>
                </c:pt>
                <c:pt idx="7">
                  <c:v>48.5</c:v>
                </c:pt>
                <c:pt idx="8">
                  <c:v>48.8</c:v>
                </c:pt>
                <c:pt idx="9">
                  <c:v>48.4</c:v>
                </c:pt>
                <c:pt idx="10">
                  <c:v>49.9</c:v>
                </c:pt>
                <c:pt idx="11">
                  <c:v>49.3</c:v>
                </c:pt>
                <c:pt idx="12">
                  <c:v>49.3</c:v>
                </c:pt>
                <c:pt idx="13">
                  <c:v>48.9</c:v>
                </c:pt>
                <c:pt idx="1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1B-B343-B7F1-B75393FDF2B3}"/>
            </c:ext>
          </c:extLst>
        </c:ser>
        <c:ser>
          <c:idx val="6"/>
          <c:order val="6"/>
          <c:tx>
            <c:strRef>
              <c:f>Trends!$A$10</c:f>
              <c:strCache>
                <c:ptCount val="1"/>
                <c:pt idx="0">
                  <c:v>Rich W</c:v>
                </c:pt>
              </c:strCache>
            </c:strRef>
          </c:tx>
          <c:spPr>
            <a:ln w="28575" cap="rnd" cmpd="dbl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Trends!$B$10:$V$10</c:f>
              <c:numCache>
                <c:formatCode>0.0</c:formatCode>
                <c:ptCount val="21"/>
                <c:pt idx="0">
                  <c:v>63</c:v>
                </c:pt>
                <c:pt idx="1">
                  <c:v>63</c:v>
                </c:pt>
                <c:pt idx="2">
                  <c:v>54</c:v>
                </c:pt>
                <c:pt idx="3">
                  <c:v>50</c:v>
                </c:pt>
                <c:pt idx="4">
                  <c:v>47.8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43.5</c:v>
                </c:pt>
                <c:pt idx="10">
                  <c:v>43.1</c:v>
                </c:pt>
                <c:pt idx="11">
                  <c:v>43.1</c:v>
                </c:pt>
                <c:pt idx="12">
                  <c:v>43.3</c:v>
                </c:pt>
                <c:pt idx="13">
                  <c:v>43.2</c:v>
                </c:pt>
                <c:pt idx="14">
                  <c:v>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1B-B343-B7F1-B75393FDF2B3}"/>
            </c:ext>
          </c:extLst>
        </c:ser>
        <c:ser>
          <c:idx val="7"/>
          <c:order val="7"/>
          <c:tx>
            <c:strRef>
              <c:f>Trends!$A$11</c:f>
              <c:strCache>
                <c:ptCount val="1"/>
                <c:pt idx="0">
                  <c:v>Trevor 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Trends!$B$11:$V$11</c:f>
              <c:numCache>
                <c:formatCode>0.0</c:formatCode>
                <c:ptCount val="21"/>
                <c:pt idx="0">
                  <c:v>45</c:v>
                </c:pt>
                <c:pt idx="1">
                  <c:v>51</c:v>
                </c:pt>
                <c:pt idx="2">
                  <c:v>52.3</c:v>
                </c:pt>
                <c:pt idx="3">
                  <c:v>55</c:v>
                </c:pt>
                <c:pt idx="4">
                  <c:v>53.8</c:v>
                </c:pt>
                <c:pt idx="5">
                  <c:v>51.2</c:v>
                </c:pt>
                <c:pt idx="6">
                  <c:v>51.3</c:v>
                </c:pt>
                <c:pt idx="7">
                  <c:v>51.1</c:v>
                </c:pt>
                <c:pt idx="8">
                  <c:v>51.8</c:v>
                </c:pt>
                <c:pt idx="9">
                  <c:v>51.4</c:v>
                </c:pt>
                <c:pt idx="10">
                  <c:v>50.8</c:v>
                </c:pt>
                <c:pt idx="11">
                  <c:v>50.8</c:v>
                </c:pt>
                <c:pt idx="12">
                  <c:v>50.8</c:v>
                </c:pt>
                <c:pt idx="13">
                  <c:v>50.8</c:v>
                </c:pt>
                <c:pt idx="14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1B-B343-B7F1-B75393FDF2B3}"/>
            </c:ext>
          </c:extLst>
        </c:ser>
        <c:ser>
          <c:idx val="8"/>
          <c:order val="8"/>
          <c:tx>
            <c:strRef>
              <c:f>Trends!$A$12</c:f>
              <c:strCache>
                <c:ptCount val="1"/>
                <c:pt idx="0">
                  <c:v>Rod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Trends!$B$12:$V$12</c:f>
              <c:numCache>
                <c:formatCode>0.0</c:formatCode>
                <c:ptCount val="21"/>
                <c:pt idx="0">
                  <c:v>51</c:v>
                </c:pt>
                <c:pt idx="1">
                  <c:v>46</c:v>
                </c:pt>
                <c:pt idx="2">
                  <c:v>46.3</c:v>
                </c:pt>
                <c:pt idx="3">
                  <c:v>45.3</c:v>
                </c:pt>
                <c:pt idx="4">
                  <c:v>45.3</c:v>
                </c:pt>
                <c:pt idx="5">
                  <c:v>44.8</c:v>
                </c:pt>
                <c:pt idx="6">
                  <c:v>44</c:v>
                </c:pt>
                <c:pt idx="7">
                  <c:v>44.4</c:v>
                </c:pt>
                <c:pt idx="8">
                  <c:v>46</c:v>
                </c:pt>
                <c:pt idx="9">
                  <c:v>46.3</c:v>
                </c:pt>
                <c:pt idx="10">
                  <c:v>46.2</c:v>
                </c:pt>
                <c:pt idx="11">
                  <c:v>46.3</c:v>
                </c:pt>
                <c:pt idx="12">
                  <c:v>45.9</c:v>
                </c:pt>
                <c:pt idx="13">
                  <c:v>47.1</c:v>
                </c:pt>
                <c:pt idx="1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1B-B343-B7F1-B75393FDF2B3}"/>
            </c:ext>
          </c:extLst>
        </c:ser>
        <c:ser>
          <c:idx val="9"/>
          <c:order val="9"/>
          <c:tx>
            <c:strRef>
              <c:f>Trends!$A$13</c:f>
              <c:strCache>
                <c:ptCount val="1"/>
                <c:pt idx="0">
                  <c:v>Gary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Trends!$B$13:$V$13</c:f>
              <c:numCache>
                <c:formatCode>0.0</c:formatCode>
                <c:ptCount val="21"/>
                <c:pt idx="1">
                  <c:v>39</c:v>
                </c:pt>
                <c:pt idx="2">
                  <c:v>41.5</c:v>
                </c:pt>
                <c:pt idx="3">
                  <c:v>40</c:v>
                </c:pt>
                <c:pt idx="4">
                  <c:v>42.3</c:v>
                </c:pt>
                <c:pt idx="5">
                  <c:v>42.3</c:v>
                </c:pt>
                <c:pt idx="6">
                  <c:v>41</c:v>
                </c:pt>
                <c:pt idx="7">
                  <c:v>42.7</c:v>
                </c:pt>
                <c:pt idx="8">
                  <c:v>44.3</c:v>
                </c:pt>
                <c:pt idx="9">
                  <c:v>43.4</c:v>
                </c:pt>
                <c:pt idx="10">
                  <c:v>43.9</c:v>
                </c:pt>
                <c:pt idx="11">
                  <c:v>43.4</c:v>
                </c:pt>
                <c:pt idx="12">
                  <c:v>43.4</c:v>
                </c:pt>
                <c:pt idx="13">
                  <c:v>44.8</c:v>
                </c:pt>
                <c:pt idx="14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B1B-B343-B7F1-B75393FDF2B3}"/>
            </c:ext>
          </c:extLst>
        </c:ser>
        <c:ser>
          <c:idx val="12"/>
          <c:order val="10"/>
          <c:tx>
            <c:strRef>
              <c:f>Trends!$A$14</c:f>
              <c:strCache>
                <c:ptCount val="1"/>
                <c:pt idx="0">
                  <c:v>Pete P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Trends!$B$14:$V$14</c:f>
              <c:numCache>
                <c:formatCode>0.0</c:formatCode>
                <c:ptCount val="21"/>
                <c:pt idx="2">
                  <c:v>45</c:v>
                </c:pt>
                <c:pt idx="3">
                  <c:v>42.5</c:v>
                </c:pt>
                <c:pt idx="4">
                  <c:v>42.5</c:v>
                </c:pt>
                <c:pt idx="5">
                  <c:v>39</c:v>
                </c:pt>
                <c:pt idx="6">
                  <c:v>38.799999999999997</c:v>
                </c:pt>
                <c:pt idx="7">
                  <c:v>42</c:v>
                </c:pt>
                <c:pt idx="8">
                  <c:v>40.799999999999997</c:v>
                </c:pt>
                <c:pt idx="9">
                  <c:v>40.799999999999997</c:v>
                </c:pt>
                <c:pt idx="10">
                  <c:v>42.4</c:v>
                </c:pt>
                <c:pt idx="11">
                  <c:v>43</c:v>
                </c:pt>
                <c:pt idx="12">
                  <c:v>42.9</c:v>
                </c:pt>
                <c:pt idx="13">
                  <c:v>42.9</c:v>
                </c:pt>
                <c:pt idx="1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B1B-B343-B7F1-B75393FDF2B3}"/>
            </c:ext>
          </c:extLst>
        </c:ser>
        <c:ser>
          <c:idx val="13"/>
          <c:order val="11"/>
          <c:tx>
            <c:strRef>
              <c:f>Trends!$A$22</c:f>
              <c:strCache>
                <c:ptCount val="1"/>
                <c:pt idx="0">
                  <c:v>Home Average</c:v>
                </c:pt>
              </c:strCache>
            </c:strRef>
          </c:tx>
          <c:spPr>
            <a:ln w="28575" cap="rnd" cmpd="sng">
              <a:solidFill>
                <a:schemeClr val="accent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80000"/>
                  <a:lumOff val="2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Trends!$B$22:$V$22</c:f>
              <c:numCache>
                <c:formatCode>0.0</c:formatCode>
                <c:ptCount val="21"/>
                <c:pt idx="1">
                  <c:v>46.7</c:v>
                </c:pt>
                <c:pt idx="3">
                  <c:v>48.1</c:v>
                </c:pt>
                <c:pt idx="4">
                  <c:v>47.4</c:v>
                </c:pt>
                <c:pt idx="5">
                  <c:v>46.4</c:v>
                </c:pt>
                <c:pt idx="6">
                  <c:v>46.1</c:v>
                </c:pt>
                <c:pt idx="7">
                  <c:v>46.1</c:v>
                </c:pt>
                <c:pt idx="8">
                  <c:v>44.7</c:v>
                </c:pt>
                <c:pt idx="9">
                  <c:v>44.7</c:v>
                </c:pt>
                <c:pt idx="10">
                  <c:v>44.7</c:v>
                </c:pt>
                <c:pt idx="11">
                  <c:v>44.8</c:v>
                </c:pt>
                <c:pt idx="12">
                  <c:v>44.9</c:v>
                </c:pt>
                <c:pt idx="13">
                  <c:v>44.9</c:v>
                </c:pt>
                <c:pt idx="14">
                  <c:v>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B1B-B343-B7F1-B75393FDF2B3}"/>
            </c:ext>
          </c:extLst>
        </c:ser>
        <c:ser>
          <c:idx val="10"/>
          <c:order val="12"/>
          <c:tx>
            <c:strRef>
              <c:f>Trends!$A$23</c:f>
              <c:strCache>
                <c:ptCount val="1"/>
                <c:pt idx="0">
                  <c:v>Overall Average</c:v>
                </c:pt>
              </c:strCache>
            </c:strRef>
          </c:tx>
          <c:spPr>
            <a:ln w="28575" cap="rnd" cmpd="dbl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Trends!$B$3:$V$3</c:f>
              <c:numCache>
                <c:formatCode>dd\ mmm\ yy</c:formatCode>
                <c:ptCount val="21"/>
                <c:pt idx="0">
                  <c:v>43348</c:v>
                </c:pt>
                <c:pt idx="1">
                  <c:v>43362</c:v>
                </c:pt>
                <c:pt idx="2">
                  <c:v>43369</c:v>
                </c:pt>
                <c:pt idx="3">
                  <c:v>43381</c:v>
                </c:pt>
                <c:pt idx="4">
                  <c:v>43390</c:v>
                </c:pt>
                <c:pt idx="5">
                  <c:v>43404</c:v>
                </c:pt>
                <c:pt idx="6">
                  <c:v>43418</c:v>
                </c:pt>
                <c:pt idx="7">
                  <c:v>43425</c:v>
                </c:pt>
                <c:pt idx="8">
                  <c:v>43432</c:v>
                </c:pt>
                <c:pt idx="9">
                  <c:v>43439</c:v>
                </c:pt>
                <c:pt idx="10">
                  <c:v>43453</c:v>
                </c:pt>
                <c:pt idx="11">
                  <c:v>43467</c:v>
                </c:pt>
                <c:pt idx="12">
                  <c:v>43488</c:v>
                </c:pt>
                <c:pt idx="13">
                  <c:v>43495</c:v>
                </c:pt>
                <c:pt idx="14">
                  <c:v>43502</c:v>
                </c:pt>
              </c:numCache>
            </c:numRef>
          </c:cat>
          <c:val>
            <c:numRef>
              <c:f>Trends!$B$23:$V$23</c:f>
              <c:numCache>
                <c:formatCode>0.0</c:formatCode>
                <c:ptCount val="21"/>
                <c:pt idx="0">
                  <c:v>51.7</c:v>
                </c:pt>
                <c:pt idx="1">
                  <c:v>49.5</c:v>
                </c:pt>
                <c:pt idx="3">
                  <c:v>46.7</c:v>
                </c:pt>
                <c:pt idx="4">
                  <c:v>45.7</c:v>
                </c:pt>
                <c:pt idx="5">
                  <c:v>45.7</c:v>
                </c:pt>
                <c:pt idx="6">
                  <c:v>45.5</c:v>
                </c:pt>
                <c:pt idx="7">
                  <c:v>45.5</c:v>
                </c:pt>
                <c:pt idx="8">
                  <c:v>46.9</c:v>
                </c:pt>
                <c:pt idx="9">
                  <c:v>46.6</c:v>
                </c:pt>
                <c:pt idx="10">
                  <c:v>46.7</c:v>
                </c:pt>
                <c:pt idx="11">
                  <c:v>46.5</c:v>
                </c:pt>
                <c:pt idx="12">
                  <c:v>46.5</c:v>
                </c:pt>
                <c:pt idx="13">
                  <c:v>46.6</c:v>
                </c:pt>
                <c:pt idx="14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8-4341-B66F-374FF43F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746240"/>
        <c:axId val="491747808"/>
      </c:lineChart>
      <c:catAx>
        <c:axId val="49174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747808"/>
        <c:crosses val="autoZero"/>
        <c:auto val="0"/>
        <c:lblAlgn val="ctr"/>
        <c:lblOffset val="100"/>
        <c:noMultiLvlLbl val="0"/>
      </c:catAx>
      <c:valAx>
        <c:axId val="491747808"/>
        <c:scaling>
          <c:orientation val="minMax"/>
          <c:max val="56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Average 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7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1634490</xdr:colOff>
      <xdr:row>27</xdr:row>
      <xdr:rowOff>103685</xdr:rowOff>
    </xdr:from>
    <xdr:to>
      <xdr:col>9</xdr:col>
      <xdr:colOff>679269</xdr:colOff>
      <xdr:row>51</xdr:row>
      <xdr:rowOff>189410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dxe.uk/Skittles/2018_19/pics/2018-10-31%2022.46.46.jpg" TargetMode="External"/><Relationship Id="rId13" Type="http://schemas.openxmlformats.org/officeDocument/2006/relationships/hyperlink" Target="https://adxe.uk/Skittles/2018_19/pics/2019-01-23%2022.29.jpg" TargetMode="External"/><Relationship Id="rId3" Type="http://schemas.openxmlformats.org/officeDocument/2006/relationships/hyperlink" Target="https://adxe.uk/Skittles/2018_19/pics/2018-09-26%2023.01.35.jpg" TargetMode="External"/><Relationship Id="rId7" Type="http://schemas.openxmlformats.org/officeDocument/2006/relationships/hyperlink" Target="https://adxe.uk/Skittles/2018_19/pics/2018-11-21%2023.19.50.jpg" TargetMode="External"/><Relationship Id="rId12" Type="http://schemas.openxmlformats.org/officeDocument/2006/relationships/hyperlink" Target="https://adxe.uk/Skittles/2018_19/pics/2019-01-02%2022.41.07.jpg" TargetMode="External"/><Relationship Id="rId2" Type="http://schemas.openxmlformats.org/officeDocument/2006/relationships/hyperlink" Target="https://adxe.uk/Skittles/2018_19/pics/2018-09-19%2022.49.52.jp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adxe.uk/Skittles/2018_19/pics/2018-09-05%2022.29.10.jpg" TargetMode="External"/><Relationship Id="rId6" Type="http://schemas.openxmlformats.org/officeDocument/2006/relationships/hyperlink" Target="https://adxe.uk/Skittles/2018_19/pics/2018-11-14%2022.52.40.jpg" TargetMode="External"/><Relationship Id="rId11" Type="http://schemas.openxmlformats.org/officeDocument/2006/relationships/hyperlink" Target="https://adxe.uk/Skittles/2018_19/pics/2018-12-19%2023.01.54.jpg" TargetMode="External"/><Relationship Id="rId5" Type="http://schemas.openxmlformats.org/officeDocument/2006/relationships/hyperlink" Target="https://adxe.uk/Skittles/2018_19/pics/2018-10-17%2022.40.07.jpg" TargetMode="External"/><Relationship Id="rId15" Type="http://schemas.openxmlformats.org/officeDocument/2006/relationships/hyperlink" Target="https://adxe.uk/Skittles/2018_19/pics/2019-02-06%2022.22.jpg" TargetMode="External"/><Relationship Id="rId10" Type="http://schemas.openxmlformats.org/officeDocument/2006/relationships/hyperlink" Target="https://adxe.uk/Skittles/2018_19/pics/2018-12-05%2022.50.43.jpg" TargetMode="External"/><Relationship Id="rId4" Type="http://schemas.openxmlformats.org/officeDocument/2006/relationships/hyperlink" Target="https://adxe.uk/Skittles/2018_19/pics/2018-10-08%2022.27.16.jpg" TargetMode="External"/><Relationship Id="rId9" Type="http://schemas.openxmlformats.org/officeDocument/2006/relationships/hyperlink" Target="https://adxe.uk/Skittles/2018_19/pics/2018-11-28%2022.28.47.jpg" TargetMode="External"/><Relationship Id="rId14" Type="http://schemas.openxmlformats.org/officeDocument/2006/relationships/hyperlink" Target="https://adxe.uk/Skittles/2018_19/pics/2019-01-30%2023.10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61"/>
  <sheetViews>
    <sheetView tabSelected="1" workbookViewId="0">
      <pane xSplit="1" topLeftCell="AA1" activePane="topRight" state="frozen"/>
      <selection activeCell="A5" sqref="A5"/>
      <selection pane="topRight" activeCell="BH8" sqref="BH8"/>
    </sheetView>
  </sheetViews>
  <sheetFormatPr defaultRowHeight="15" x14ac:dyDescent="0.25"/>
  <cols>
    <col min="1" max="1" width="17.42578125" customWidth="1"/>
    <col min="2" max="2" width="6.28515625" style="2" bestFit="1" customWidth="1"/>
    <col min="3" max="3" width="9.140625" style="2" bestFit="1" customWidth="1"/>
    <col min="4" max="4" width="6.42578125" bestFit="1" customWidth="1"/>
    <col min="5" max="5" width="6.28515625" bestFit="1" customWidth="1"/>
    <col min="6" max="6" width="9.140625" bestFit="1" customWidth="1"/>
    <col min="7" max="7" width="6.42578125" bestFit="1" customWidth="1"/>
    <col min="8" max="8" width="6.28515625" bestFit="1" customWidth="1"/>
    <col min="9" max="9" width="8.28515625" customWidth="1"/>
    <col min="10" max="10" width="6.42578125" bestFit="1" customWidth="1"/>
    <col min="11" max="19" width="6.42578125" customWidth="1"/>
    <col min="20" max="22" width="6.42578125" hidden="1" customWidth="1"/>
    <col min="23" max="28" width="6.42578125" customWidth="1"/>
    <col min="29" max="34" width="6.42578125" hidden="1" customWidth="1"/>
    <col min="35" max="49" width="6.42578125" customWidth="1"/>
    <col min="50" max="52" width="6.42578125" hidden="1" customWidth="1"/>
    <col min="53" max="79" width="6.42578125" customWidth="1"/>
  </cols>
  <sheetData>
    <row r="1" spans="1:79" ht="23.25" x14ac:dyDescent="0.35">
      <c r="A1" s="27" t="s">
        <v>51</v>
      </c>
      <c r="G1" s="191" t="s">
        <v>34</v>
      </c>
      <c r="H1" s="191"/>
      <c r="I1" s="396">
        <f ca="1">NOW()</f>
        <v>43503.742375810187</v>
      </c>
      <c r="J1" s="396"/>
      <c r="K1" s="396"/>
    </row>
    <row r="2" spans="1:79" ht="15.75" customHeight="1" x14ac:dyDescent="0.25">
      <c r="A2" s="4"/>
      <c r="B2" s="8"/>
      <c r="C2" s="8"/>
      <c r="D2" s="4"/>
      <c r="E2" s="4"/>
      <c r="F2" s="4"/>
      <c r="H2" s="4"/>
      <c r="I2" s="4"/>
    </row>
    <row r="3" spans="1:79" s="38" customFormat="1" ht="15.75" customHeight="1" x14ac:dyDescent="0.25">
      <c r="A3" s="39" t="s">
        <v>2</v>
      </c>
      <c r="B3" s="370" t="s">
        <v>75</v>
      </c>
      <c r="C3" s="371"/>
      <c r="D3" s="372"/>
      <c r="E3" s="355" t="s">
        <v>74</v>
      </c>
      <c r="F3" s="356"/>
      <c r="G3" s="357"/>
      <c r="H3" s="355" t="s">
        <v>90</v>
      </c>
      <c r="I3" s="356"/>
      <c r="J3" s="357"/>
      <c r="K3" s="355" t="s">
        <v>98</v>
      </c>
      <c r="L3" s="356"/>
      <c r="M3" s="357"/>
      <c r="N3" s="355" t="s">
        <v>97</v>
      </c>
      <c r="O3" s="356"/>
      <c r="P3" s="357"/>
      <c r="Q3" s="355" t="s">
        <v>74</v>
      </c>
      <c r="R3" s="356"/>
      <c r="S3" s="357"/>
      <c r="T3" s="355"/>
      <c r="U3" s="356"/>
      <c r="V3" s="357"/>
      <c r="W3" s="355" t="s">
        <v>77</v>
      </c>
      <c r="X3" s="356"/>
      <c r="Y3" s="357"/>
      <c r="Z3" s="355" t="s">
        <v>74</v>
      </c>
      <c r="AA3" s="356"/>
      <c r="AB3" s="357"/>
      <c r="AC3" s="355"/>
      <c r="AD3" s="356"/>
      <c r="AE3" s="357"/>
      <c r="AF3" s="355"/>
      <c r="AG3" s="356"/>
      <c r="AH3" s="357"/>
      <c r="AI3" s="355" t="s">
        <v>98</v>
      </c>
      <c r="AJ3" s="356"/>
      <c r="AK3" s="357"/>
      <c r="AL3" s="355" t="s">
        <v>79</v>
      </c>
      <c r="AM3" s="356"/>
      <c r="AN3" s="357"/>
      <c r="AO3" s="355" t="s">
        <v>74</v>
      </c>
      <c r="AP3" s="356"/>
      <c r="AQ3" s="357"/>
      <c r="AR3" s="355" t="s">
        <v>74</v>
      </c>
      <c r="AS3" s="356"/>
      <c r="AT3" s="357"/>
      <c r="AU3" s="355" t="s">
        <v>74</v>
      </c>
      <c r="AV3" s="356"/>
      <c r="AW3" s="357"/>
      <c r="AX3" s="355"/>
      <c r="AY3" s="356"/>
      <c r="AZ3" s="357"/>
      <c r="BA3" s="355" t="s">
        <v>74</v>
      </c>
      <c r="BB3" s="356"/>
      <c r="BC3" s="357"/>
      <c r="BD3" s="355" t="s">
        <v>81</v>
      </c>
      <c r="BE3" s="356"/>
      <c r="BF3" s="357"/>
      <c r="BG3" s="355" t="s">
        <v>83</v>
      </c>
      <c r="BH3" s="356"/>
      <c r="BI3" s="357"/>
      <c r="BJ3" s="355" t="s">
        <v>74</v>
      </c>
      <c r="BK3" s="356"/>
      <c r="BL3" s="357"/>
      <c r="BM3" s="355" t="s">
        <v>86</v>
      </c>
      <c r="BN3" s="356"/>
      <c r="BO3" s="357"/>
      <c r="BP3" s="355" t="s">
        <v>74</v>
      </c>
      <c r="BQ3" s="356"/>
      <c r="BR3" s="357"/>
      <c r="BS3" s="355" t="s">
        <v>88</v>
      </c>
      <c r="BT3" s="356"/>
      <c r="BU3" s="357"/>
      <c r="BV3" s="355" t="s">
        <v>74</v>
      </c>
      <c r="BW3" s="356"/>
      <c r="BX3" s="357"/>
      <c r="BY3" s="355"/>
      <c r="BZ3" s="356"/>
      <c r="CA3" s="357"/>
    </row>
    <row r="4" spans="1:79" s="31" customFormat="1" ht="15.75" customHeight="1" x14ac:dyDescent="0.25">
      <c r="A4" s="213" t="s">
        <v>33</v>
      </c>
      <c r="B4" s="387">
        <v>1</v>
      </c>
      <c r="C4" s="388"/>
      <c r="D4" s="389"/>
      <c r="E4" s="358">
        <v>2</v>
      </c>
      <c r="F4" s="359"/>
      <c r="G4" s="360"/>
      <c r="H4" s="358">
        <v>3</v>
      </c>
      <c r="I4" s="359"/>
      <c r="J4" s="360"/>
      <c r="K4" s="358">
        <v>4</v>
      </c>
      <c r="L4" s="359"/>
      <c r="M4" s="360"/>
      <c r="N4" s="358">
        <v>5</v>
      </c>
      <c r="O4" s="359"/>
      <c r="P4" s="360"/>
      <c r="Q4" s="358">
        <v>6</v>
      </c>
      <c r="R4" s="359"/>
      <c r="S4" s="360"/>
      <c r="T4" s="358">
        <v>7</v>
      </c>
      <c r="U4" s="359"/>
      <c r="V4" s="360"/>
      <c r="W4" s="358">
        <v>8</v>
      </c>
      <c r="X4" s="359"/>
      <c r="Y4" s="360"/>
      <c r="Z4" s="358">
        <v>9</v>
      </c>
      <c r="AA4" s="359"/>
      <c r="AB4" s="360"/>
      <c r="AC4" s="358">
        <v>10</v>
      </c>
      <c r="AD4" s="359"/>
      <c r="AE4" s="360"/>
      <c r="AF4" s="358">
        <v>11</v>
      </c>
      <c r="AG4" s="359"/>
      <c r="AH4" s="360"/>
      <c r="AI4" s="358">
        <v>12</v>
      </c>
      <c r="AJ4" s="359"/>
      <c r="AK4" s="360"/>
      <c r="AL4" s="358">
        <v>13</v>
      </c>
      <c r="AM4" s="359"/>
      <c r="AN4" s="360"/>
      <c r="AO4" s="358">
        <v>14</v>
      </c>
      <c r="AP4" s="359"/>
      <c r="AQ4" s="360"/>
      <c r="AR4" s="358">
        <v>15</v>
      </c>
      <c r="AS4" s="359"/>
      <c r="AT4" s="360"/>
      <c r="AU4" s="358">
        <v>16</v>
      </c>
      <c r="AV4" s="359"/>
      <c r="AW4" s="360"/>
      <c r="AX4" s="358">
        <v>17</v>
      </c>
      <c r="AY4" s="359"/>
      <c r="AZ4" s="360"/>
      <c r="BA4" s="358">
        <v>18</v>
      </c>
      <c r="BB4" s="359"/>
      <c r="BC4" s="360"/>
      <c r="BD4" s="358">
        <v>19</v>
      </c>
      <c r="BE4" s="359"/>
      <c r="BF4" s="360"/>
      <c r="BG4" s="358">
        <v>20</v>
      </c>
      <c r="BH4" s="359"/>
      <c r="BI4" s="360"/>
      <c r="BJ4" s="358">
        <v>21</v>
      </c>
      <c r="BK4" s="359"/>
      <c r="BL4" s="360"/>
      <c r="BM4" s="358">
        <v>22</v>
      </c>
      <c r="BN4" s="359"/>
      <c r="BO4" s="360"/>
      <c r="BP4" s="358">
        <v>23</v>
      </c>
      <c r="BQ4" s="359"/>
      <c r="BR4" s="360"/>
      <c r="BS4" s="358">
        <v>24</v>
      </c>
      <c r="BT4" s="359"/>
      <c r="BU4" s="360"/>
      <c r="BV4" s="358">
        <v>25</v>
      </c>
      <c r="BW4" s="359"/>
      <c r="BX4" s="360"/>
      <c r="BY4" s="358"/>
      <c r="BZ4" s="359"/>
      <c r="CA4" s="360"/>
    </row>
    <row r="5" spans="1:79" s="38" customFormat="1" ht="15.75" customHeight="1" x14ac:dyDescent="0.25">
      <c r="A5" s="39" t="s">
        <v>3</v>
      </c>
      <c r="B5" s="377" t="s">
        <v>6</v>
      </c>
      <c r="C5" s="378"/>
      <c r="D5" s="379"/>
      <c r="E5" s="383" t="s">
        <v>15</v>
      </c>
      <c r="F5" s="384"/>
      <c r="G5" s="385"/>
      <c r="H5" s="383" t="s">
        <v>6</v>
      </c>
      <c r="I5" s="384"/>
      <c r="J5" s="385"/>
      <c r="K5" s="383" t="s">
        <v>6</v>
      </c>
      <c r="L5" s="384"/>
      <c r="M5" s="385"/>
      <c r="N5" s="383" t="s">
        <v>6</v>
      </c>
      <c r="O5" s="384"/>
      <c r="P5" s="385"/>
      <c r="Q5" s="383" t="s">
        <v>15</v>
      </c>
      <c r="R5" s="384"/>
      <c r="S5" s="385"/>
      <c r="T5" s="383"/>
      <c r="U5" s="384"/>
      <c r="V5" s="385"/>
      <c r="W5" s="383" t="s">
        <v>6</v>
      </c>
      <c r="X5" s="384"/>
      <c r="Y5" s="385"/>
      <c r="Z5" s="383" t="s">
        <v>15</v>
      </c>
      <c r="AA5" s="384"/>
      <c r="AB5" s="385"/>
      <c r="AC5" s="383"/>
      <c r="AD5" s="384"/>
      <c r="AE5" s="385"/>
      <c r="AF5" s="383"/>
      <c r="AG5" s="384"/>
      <c r="AH5" s="385"/>
      <c r="AI5" s="383" t="s">
        <v>6</v>
      </c>
      <c r="AJ5" s="384"/>
      <c r="AK5" s="385"/>
      <c r="AL5" s="383" t="s">
        <v>6</v>
      </c>
      <c r="AM5" s="384"/>
      <c r="AN5" s="385"/>
      <c r="AO5" s="383" t="s">
        <v>15</v>
      </c>
      <c r="AP5" s="384"/>
      <c r="AQ5" s="385"/>
      <c r="AR5" s="383" t="s">
        <v>6</v>
      </c>
      <c r="AS5" s="384"/>
      <c r="AT5" s="385"/>
      <c r="AU5" s="383" t="s">
        <v>15</v>
      </c>
      <c r="AV5" s="384"/>
      <c r="AW5" s="385"/>
      <c r="AX5" s="383"/>
      <c r="AY5" s="384"/>
      <c r="AZ5" s="385"/>
      <c r="BA5" s="383" t="s">
        <v>15</v>
      </c>
      <c r="BB5" s="384"/>
      <c r="BC5" s="385"/>
      <c r="BD5" s="383" t="s">
        <v>6</v>
      </c>
      <c r="BE5" s="384"/>
      <c r="BF5" s="385"/>
      <c r="BG5" s="383" t="s">
        <v>6</v>
      </c>
      <c r="BH5" s="384"/>
      <c r="BI5" s="385"/>
      <c r="BJ5" s="383" t="s">
        <v>15</v>
      </c>
      <c r="BK5" s="384"/>
      <c r="BL5" s="385"/>
      <c r="BM5" s="383" t="s">
        <v>6</v>
      </c>
      <c r="BN5" s="384"/>
      <c r="BO5" s="385"/>
      <c r="BP5" s="383" t="s">
        <v>15</v>
      </c>
      <c r="BQ5" s="384"/>
      <c r="BR5" s="385"/>
      <c r="BS5" s="383" t="s">
        <v>6</v>
      </c>
      <c r="BT5" s="384"/>
      <c r="BU5" s="385"/>
      <c r="BV5" s="383" t="s">
        <v>15</v>
      </c>
      <c r="BW5" s="384"/>
      <c r="BX5" s="385"/>
      <c r="BY5" s="383"/>
      <c r="BZ5" s="384"/>
      <c r="CA5" s="385"/>
    </row>
    <row r="6" spans="1:79" ht="15.75" customHeight="1" x14ac:dyDescent="0.25">
      <c r="A6" s="5" t="s">
        <v>30</v>
      </c>
      <c r="B6" s="380" t="s">
        <v>32</v>
      </c>
      <c r="C6" s="381"/>
      <c r="D6" s="382"/>
      <c r="E6" s="380" t="s">
        <v>32</v>
      </c>
      <c r="F6" s="381"/>
      <c r="G6" s="386"/>
      <c r="H6" s="380" t="s">
        <v>31</v>
      </c>
      <c r="I6" s="381"/>
      <c r="J6" s="386"/>
      <c r="K6" s="380" t="s">
        <v>32</v>
      </c>
      <c r="L6" s="381"/>
      <c r="M6" s="386"/>
      <c r="N6" s="380" t="s">
        <v>31</v>
      </c>
      <c r="O6" s="381"/>
      <c r="P6" s="386"/>
      <c r="Q6" s="380" t="s">
        <v>32</v>
      </c>
      <c r="R6" s="381"/>
      <c r="S6" s="386"/>
      <c r="T6" s="380" t="s">
        <v>31</v>
      </c>
      <c r="U6" s="381"/>
      <c r="V6" s="386"/>
      <c r="W6" s="380" t="s">
        <v>32</v>
      </c>
      <c r="X6" s="381"/>
      <c r="Y6" s="386"/>
      <c r="Z6" s="380" t="s">
        <v>32</v>
      </c>
      <c r="AA6" s="381"/>
      <c r="AB6" s="386"/>
      <c r="AC6" s="380"/>
      <c r="AD6" s="381"/>
      <c r="AE6" s="386"/>
      <c r="AF6" s="380" t="s">
        <v>31</v>
      </c>
      <c r="AG6" s="381"/>
      <c r="AH6" s="386"/>
      <c r="AI6" s="380" t="s">
        <v>32</v>
      </c>
      <c r="AJ6" s="381"/>
      <c r="AK6" s="386"/>
      <c r="AL6" s="380" t="s">
        <v>32</v>
      </c>
      <c r="AM6" s="381"/>
      <c r="AN6" s="386"/>
      <c r="AO6" s="380" t="s">
        <v>32</v>
      </c>
      <c r="AP6" s="381"/>
      <c r="AQ6" s="386"/>
      <c r="AR6" s="380" t="s">
        <v>32</v>
      </c>
      <c r="AS6" s="381"/>
      <c r="AT6" s="386"/>
      <c r="AU6" s="380" t="s">
        <v>32</v>
      </c>
      <c r="AV6" s="381"/>
      <c r="AW6" s="386"/>
      <c r="AX6" s="380" t="s">
        <v>31</v>
      </c>
      <c r="AY6" s="381"/>
      <c r="AZ6" s="386"/>
      <c r="BA6" s="380" t="s">
        <v>32</v>
      </c>
      <c r="BB6" s="381"/>
      <c r="BC6" s="386"/>
      <c r="BD6" s="380" t="s">
        <v>32</v>
      </c>
      <c r="BE6" s="381"/>
      <c r="BF6" s="386"/>
      <c r="BG6" s="380" t="s">
        <v>32</v>
      </c>
      <c r="BH6" s="381"/>
      <c r="BI6" s="386"/>
      <c r="BJ6" s="380" t="s">
        <v>32</v>
      </c>
      <c r="BK6" s="381"/>
      <c r="BL6" s="386"/>
      <c r="BM6" s="380" t="s">
        <v>32</v>
      </c>
      <c r="BN6" s="381"/>
      <c r="BO6" s="386"/>
      <c r="BP6" s="380" t="s">
        <v>32</v>
      </c>
      <c r="BQ6" s="381"/>
      <c r="BR6" s="386"/>
      <c r="BS6" s="380" t="s">
        <v>32</v>
      </c>
      <c r="BT6" s="381"/>
      <c r="BU6" s="386"/>
      <c r="BV6" s="380" t="s">
        <v>32</v>
      </c>
      <c r="BW6" s="381"/>
      <c r="BX6" s="386"/>
      <c r="BY6" s="380"/>
      <c r="BZ6" s="381"/>
      <c r="CA6" s="386"/>
    </row>
    <row r="7" spans="1:79" s="38" customFormat="1" ht="15.75" customHeight="1" x14ac:dyDescent="0.25">
      <c r="A7" s="39" t="s">
        <v>1</v>
      </c>
      <c r="B7" s="373">
        <v>43348</v>
      </c>
      <c r="C7" s="374"/>
      <c r="D7" s="375"/>
      <c r="E7" s="361">
        <v>43362</v>
      </c>
      <c r="F7" s="362"/>
      <c r="G7" s="363"/>
      <c r="H7" s="361">
        <v>43369</v>
      </c>
      <c r="I7" s="362"/>
      <c r="J7" s="363"/>
      <c r="K7" s="361">
        <v>43376</v>
      </c>
      <c r="L7" s="362"/>
      <c r="M7" s="363"/>
      <c r="N7" s="361">
        <v>43381</v>
      </c>
      <c r="O7" s="362"/>
      <c r="P7" s="363"/>
      <c r="Q7" s="361">
        <v>43390</v>
      </c>
      <c r="R7" s="362"/>
      <c r="S7" s="363"/>
      <c r="T7" s="361">
        <v>43397</v>
      </c>
      <c r="U7" s="362"/>
      <c r="V7" s="363"/>
      <c r="W7" s="361">
        <v>43404</v>
      </c>
      <c r="X7" s="362"/>
      <c r="Y7" s="363"/>
      <c r="Z7" s="361">
        <v>43418</v>
      </c>
      <c r="AA7" s="362"/>
      <c r="AB7" s="363"/>
      <c r="AC7" s="361"/>
      <c r="AD7" s="362"/>
      <c r="AE7" s="363"/>
      <c r="AF7" s="361">
        <v>43411</v>
      </c>
      <c r="AG7" s="362"/>
      <c r="AH7" s="363"/>
      <c r="AI7" s="361">
        <v>43425</v>
      </c>
      <c r="AJ7" s="362"/>
      <c r="AK7" s="363"/>
      <c r="AL7" s="361">
        <v>43432</v>
      </c>
      <c r="AM7" s="362"/>
      <c r="AN7" s="363"/>
      <c r="AO7" s="361">
        <v>43439</v>
      </c>
      <c r="AP7" s="362"/>
      <c r="AQ7" s="363"/>
      <c r="AR7" s="361">
        <v>43453</v>
      </c>
      <c r="AS7" s="362"/>
      <c r="AT7" s="363"/>
      <c r="AU7" s="361">
        <v>43467</v>
      </c>
      <c r="AV7" s="362"/>
      <c r="AW7" s="363"/>
      <c r="AX7" s="361">
        <v>43474</v>
      </c>
      <c r="AY7" s="362"/>
      <c r="AZ7" s="363"/>
      <c r="BA7" s="361">
        <v>43123</v>
      </c>
      <c r="BB7" s="362"/>
      <c r="BC7" s="363"/>
      <c r="BD7" s="361">
        <v>43130</v>
      </c>
      <c r="BE7" s="362"/>
      <c r="BF7" s="363"/>
      <c r="BG7" s="361">
        <v>43502</v>
      </c>
      <c r="BH7" s="362"/>
      <c r="BI7" s="363"/>
      <c r="BJ7" s="361" t="s">
        <v>109</v>
      </c>
      <c r="BK7" s="362"/>
      <c r="BL7" s="363"/>
      <c r="BM7" s="361">
        <v>43523</v>
      </c>
      <c r="BN7" s="362"/>
      <c r="BO7" s="363"/>
      <c r="BP7" s="361">
        <v>43530</v>
      </c>
      <c r="BQ7" s="362"/>
      <c r="BR7" s="363"/>
      <c r="BS7" s="361">
        <v>43537</v>
      </c>
      <c r="BT7" s="362"/>
      <c r="BU7" s="363"/>
      <c r="BV7" s="361">
        <v>43551</v>
      </c>
      <c r="BW7" s="362"/>
      <c r="BX7" s="363"/>
      <c r="BY7" s="361"/>
      <c r="BZ7" s="362"/>
      <c r="CA7" s="363"/>
    </row>
    <row r="8" spans="1:79" s="38" customFormat="1" ht="18" x14ac:dyDescent="0.25">
      <c r="A8" s="39" t="s">
        <v>49</v>
      </c>
      <c r="B8" s="343"/>
      <c r="C8" s="345" t="s">
        <v>50</v>
      </c>
      <c r="D8" s="344"/>
      <c r="E8" s="343"/>
      <c r="F8" s="345" t="s">
        <v>50</v>
      </c>
      <c r="G8" s="344"/>
      <c r="H8" s="343"/>
      <c r="I8" s="345" t="s">
        <v>50</v>
      </c>
      <c r="J8" s="344"/>
      <c r="K8" s="343"/>
      <c r="L8" s="352"/>
      <c r="M8" s="344"/>
      <c r="N8" s="343"/>
      <c r="O8" s="345" t="s">
        <v>50</v>
      </c>
      <c r="P8" s="344"/>
      <c r="Q8" s="343"/>
      <c r="R8" s="345" t="s">
        <v>50</v>
      </c>
      <c r="S8" s="344"/>
      <c r="T8" s="343"/>
      <c r="U8" s="345"/>
      <c r="V8" s="344"/>
      <c r="W8" s="343"/>
      <c r="X8" s="345" t="s">
        <v>50</v>
      </c>
      <c r="Y8" s="344"/>
      <c r="Z8" s="348"/>
      <c r="AA8" s="345" t="s">
        <v>50</v>
      </c>
      <c r="AB8" s="349"/>
      <c r="AC8" s="343"/>
      <c r="AD8" s="345"/>
      <c r="AE8" s="344"/>
      <c r="AF8" s="343"/>
      <c r="AG8" s="345"/>
      <c r="AH8" s="344"/>
      <c r="AI8" s="343"/>
      <c r="AJ8" s="345" t="s">
        <v>50</v>
      </c>
      <c r="AK8" s="401"/>
      <c r="AL8" s="402"/>
      <c r="AM8" s="345" t="s">
        <v>50</v>
      </c>
      <c r="AN8" s="401"/>
      <c r="AO8" s="402"/>
      <c r="AP8" s="345" t="s">
        <v>50</v>
      </c>
      <c r="AQ8" s="401"/>
      <c r="AR8" s="402"/>
      <c r="AS8" s="345" t="s">
        <v>50</v>
      </c>
      <c r="AT8" s="401"/>
      <c r="AU8" s="402"/>
      <c r="AV8" s="345" t="s">
        <v>50</v>
      </c>
      <c r="AW8" s="401"/>
      <c r="AX8" s="402"/>
      <c r="AY8" s="345"/>
      <c r="AZ8" s="401"/>
      <c r="BA8" s="402"/>
      <c r="BB8" s="345" t="s">
        <v>50</v>
      </c>
      <c r="BC8" s="401"/>
      <c r="BD8" s="402"/>
      <c r="BE8" s="345" t="s">
        <v>50</v>
      </c>
      <c r="BF8" s="401"/>
      <c r="BG8" s="402"/>
      <c r="BH8" s="345" t="s">
        <v>50</v>
      </c>
      <c r="BI8" s="344"/>
      <c r="BJ8" s="343"/>
      <c r="BK8" s="345"/>
      <c r="BL8" s="344"/>
      <c r="BM8" s="343"/>
      <c r="BN8" s="345"/>
      <c r="BO8" s="344"/>
      <c r="BP8" s="343"/>
      <c r="BQ8" s="345"/>
      <c r="BR8" s="344"/>
      <c r="BS8" s="343"/>
      <c r="BT8" s="345"/>
      <c r="BU8" s="344"/>
      <c r="BV8" s="340"/>
      <c r="BW8" s="341"/>
      <c r="BX8" s="342"/>
      <c r="BY8" s="340"/>
      <c r="BZ8" s="341"/>
      <c r="CA8" s="342"/>
    </row>
    <row r="9" spans="1:79" ht="15.75" customHeight="1" x14ac:dyDescent="0.25">
      <c r="B9" s="10" t="s">
        <v>16</v>
      </c>
      <c r="C9" s="12"/>
      <c r="D9" s="6" t="s">
        <v>5</v>
      </c>
      <c r="E9" s="10" t="s">
        <v>16</v>
      </c>
      <c r="F9" s="12"/>
      <c r="G9" s="6" t="s">
        <v>5</v>
      </c>
      <c r="H9" s="10" t="s">
        <v>16</v>
      </c>
      <c r="I9" s="12"/>
      <c r="J9" s="6" t="s">
        <v>5</v>
      </c>
      <c r="K9" s="10" t="s">
        <v>16</v>
      </c>
      <c r="L9" s="12"/>
      <c r="M9" s="6" t="s">
        <v>5</v>
      </c>
      <c r="N9" s="10" t="s">
        <v>16</v>
      </c>
      <c r="O9" s="12"/>
      <c r="P9" s="6" t="s">
        <v>5</v>
      </c>
      <c r="Q9" s="10" t="s">
        <v>16</v>
      </c>
      <c r="R9" s="12"/>
      <c r="S9" s="6" t="s">
        <v>5</v>
      </c>
      <c r="T9" s="10" t="s">
        <v>16</v>
      </c>
      <c r="U9" s="12"/>
      <c r="V9" s="6" t="s">
        <v>5</v>
      </c>
      <c r="W9" s="10" t="s">
        <v>16</v>
      </c>
      <c r="X9" s="12"/>
      <c r="Y9" s="6" t="s">
        <v>5</v>
      </c>
      <c r="Z9" s="10" t="s">
        <v>16</v>
      </c>
      <c r="AA9" s="12"/>
      <c r="AB9" s="6" t="s">
        <v>5</v>
      </c>
      <c r="AC9" s="10" t="s">
        <v>16</v>
      </c>
      <c r="AD9" s="12"/>
      <c r="AE9" s="6" t="s">
        <v>5</v>
      </c>
      <c r="AF9" s="10" t="s">
        <v>16</v>
      </c>
      <c r="AG9" s="12"/>
      <c r="AH9" s="6" t="s">
        <v>5</v>
      </c>
      <c r="AI9" s="10" t="s">
        <v>16</v>
      </c>
      <c r="AJ9" s="12"/>
      <c r="AK9" s="6" t="s">
        <v>5</v>
      </c>
      <c r="AL9" s="10" t="s">
        <v>16</v>
      </c>
      <c r="AM9" s="12"/>
      <c r="AN9" s="6" t="s">
        <v>5</v>
      </c>
      <c r="AO9" s="10" t="s">
        <v>16</v>
      </c>
      <c r="AP9" s="12"/>
      <c r="AQ9" s="6" t="s">
        <v>5</v>
      </c>
      <c r="AR9" s="10" t="s">
        <v>16</v>
      </c>
      <c r="AS9" s="12"/>
      <c r="AT9" s="6" t="s">
        <v>5</v>
      </c>
      <c r="AU9" s="10" t="s">
        <v>16</v>
      </c>
      <c r="AV9" s="12"/>
      <c r="AW9" s="6" t="s">
        <v>5</v>
      </c>
      <c r="AX9" s="10" t="s">
        <v>16</v>
      </c>
      <c r="AY9" s="12"/>
      <c r="AZ9" s="6" t="s">
        <v>5</v>
      </c>
      <c r="BA9" s="10" t="s">
        <v>16</v>
      </c>
      <c r="BB9" s="12"/>
      <c r="BC9" s="6" t="s">
        <v>5</v>
      </c>
      <c r="BD9" s="10" t="s">
        <v>16</v>
      </c>
      <c r="BE9" s="12"/>
      <c r="BF9" s="6" t="s">
        <v>5</v>
      </c>
      <c r="BG9" s="10" t="s">
        <v>16</v>
      </c>
      <c r="BH9" s="12"/>
      <c r="BI9" s="6" t="s">
        <v>5</v>
      </c>
      <c r="BJ9" s="10" t="s">
        <v>16</v>
      </c>
      <c r="BK9" s="12"/>
      <c r="BL9" s="6" t="s">
        <v>5</v>
      </c>
      <c r="BM9" s="10" t="s">
        <v>16</v>
      </c>
      <c r="BN9" s="12"/>
      <c r="BO9" s="6" t="s">
        <v>5</v>
      </c>
      <c r="BP9" s="10" t="s">
        <v>16</v>
      </c>
      <c r="BQ9" s="12"/>
      <c r="BR9" s="6" t="s">
        <v>5</v>
      </c>
      <c r="BS9" s="10" t="s">
        <v>16</v>
      </c>
      <c r="BT9" s="12"/>
      <c r="BU9" s="6" t="s">
        <v>5</v>
      </c>
      <c r="BV9" s="10" t="s">
        <v>16</v>
      </c>
      <c r="BW9" s="12"/>
      <c r="BX9" s="6" t="s">
        <v>5</v>
      </c>
      <c r="BY9" s="10" t="s">
        <v>16</v>
      </c>
      <c r="BZ9" s="12"/>
      <c r="CA9" s="6" t="s">
        <v>5</v>
      </c>
    </row>
    <row r="10" spans="1:79" s="38" customFormat="1" ht="18.75" x14ac:dyDescent="0.3">
      <c r="A10" s="47" t="s">
        <v>0</v>
      </c>
      <c r="B10" s="48"/>
      <c r="C10" s="49"/>
      <c r="D10" s="50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0"/>
      <c r="W10" s="48"/>
      <c r="X10" s="49"/>
      <c r="Y10" s="50"/>
      <c r="Z10" s="48"/>
      <c r="AA10" s="49"/>
      <c r="AB10" s="50"/>
      <c r="AC10" s="48"/>
      <c r="AD10" s="49"/>
      <c r="AE10" s="50"/>
      <c r="AF10" s="48"/>
      <c r="AG10" s="49"/>
      <c r="AH10" s="50"/>
      <c r="AI10" s="48"/>
      <c r="AJ10" s="49"/>
      <c r="AK10" s="50"/>
      <c r="AL10" s="48"/>
      <c r="AM10" s="49"/>
      <c r="AN10" s="50"/>
      <c r="AO10" s="48"/>
      <c r="AP10" s="49"/>
      <c r="AQ10" s="50"/>
      <c r="AR10" s="48"/>
      <c r="AS10" s="49"/>
      <c r="AT10" s="50"/>
      <c r="AU10" s="48"/>
      <c r="AV10" s="49"/>
      <c r="AW10" s="50"/>
      <c r="AX10" s="48"/>
      <c r="AY10" s="49"/>
      <c r="AZ10" s="50"/>
      <c r="BA10" s="48"/>
      <c r="BB10" s="49"/>
      <c r="BC10" s="50"/>
      <c r="BD10" s="48"/>
      <c r="BE10" s="49"/>
      <c r="BF10" s="50"/>
      <c r="BG10" s="48"/>
      <c r="BH10" s="49"/>
      <c r="BI10" s="50"/>
      <c r="BJ10" s="48"/>
      <c r="BK10" s="49"/>
      <c r="BL10" s="50"/>
      <c r="BM10" s="48"/>
      <c r="BN10" s="49"/>
      <c r="BO10" s="50"/>
      <c r="BP10" s="48"/>
      <c r="BQ10" s="49"/>
      <c r="BR10" s="50"/>
      <c r="BS10" s="48"/>
      <c r="BT10" s="49"/>
      <c r="BU10" s="50"/>
      <c r="BV10" s="48"/>
      <c r="BW10" s="49"/>
      <c r="BX10" s="50"/>
      <c r="BY10" s="48"/>
      <c r="BZ10" s="49"/>
      <c r="CA10" s="50"/>
    </row>
    <row r="11" spans="1:79" s="35" customFormat="1" ht="15.75" x14ac:dyDescent="0.25">
      <c r="A11" s="81" t="s">
        <v>36</v>
      </c>
      <c r="B11" s="219">
        <v>1</v>
      </c>
      <c r="C11" s="34" t="str">
        <f t="shared" ref="C11:C31" si="0">IF(AND((D11=MAX(D$11:D$25)),(D$32&lt;&gt;0)),"Tote","")</f>
        <v/>
      </c>
      <c r="D11" s="222">
        <v>42</v>
      </c>
      <c r="E11" s="83">
        <v>1</v>
      </c>
      <c r="F11" s="34" t="str">
        <f t="shared" ref="F11:F22" si="1">IF(AND((G11=MAX(G$11:G$25)),(G$32&lt;&gt;0)),"Tote","")</f>
        <v/>
      </c>
      <c r="G11" s="78">
        <v>46</v>
      </c>
      <c r="H11" s="83"/>
      <c r="I11" s="34" t="str">
        <f t="shared" ref="I11:I22" si="2">IF(AND((J11=MAX(J$11:J$25)),(J$32&lt;&gt;0)),"Tote","")</f>
        <v/>
      </c>
      <c r="J11" s="78"/>
      <c r="K11" s="83"/>
      <c r="L11" s="34" t="str">
        <f t="shared" ref="L11:L22" si="3">IF(AND((M11=MAX(M$11:M$25)),(M$32&lt;&gt;0)),"Tote","")</f>
        <v/>
      </c>
      <c r="M11" s="78"/>
      <c r="N11" s="83">
        <v>1</v>
      </c>
      <c r="O11" s="34" t="str">
        <f t="shared" ref="O11:O21" si="4">IF(AND((P11=MAX(P$11:P$25)),(P$32&lt;&gt;0)),"Tote","")</f>
        <v/>
      </c>
      <c r="P11" s="78">
        <v>46</v>
      </c>
      <c r="Q11" s="83"/>
      <c r="R11" s="34" t="str">
        <f t="shared" ref="R11:R22" si="5">IF(AND((S11=MAX(S$11:S$25)),(S$32&lt;&gt;0)),"Tote","")</f>
        <v/>
      </c>
      <c r="S11" s="78"/>
      <c r="T11" s="83"/>
      <c r="U11" s="34" t="str">
        <f t="shared" ref="U11:U22" si="6">IF(AND((V11=MAX(V$11:V$25)),(V$32&lt;&gt;0)),"Tote","")</f>
        <v/>
      </c>
      <c r="V11" s="78"/>
      <c r="W11" s="83"/>
      <c r="X11" s="34" t="str">
        <f t="shared" ref="X11:X22" si="7">IF(AND((Y11=MAX(Y$11:Y$25)),(Y$32&lt;&gt;0)),"Tote","")</f>
        <v/>
      </c>
      <c r="Y11" s="78"/>
      <c r="Z11" s="83">
        <v>1</v>
      </c>
      <c r="AA11" s="34" t="str">
        <f t="shared" ref="AA11:AA22" si="8">IF(AND((AB11=MAX(AB$11:AB$25)),(AB$32&lt;&gt;0)),"Tote","")</f>
        <v/>
      </c>
      <c r="AB11" s="78">
        <v>44</v>
      </c>
      <c r="AC11" s="83"/>
      <c r="AD11" s="34" t="str">
        <f t="shared" ref="AD11:AD22" si="9">IF(AND((AE11=MAX(AE$11:AE$25)),(AE$32&lt;&gt;0)),"Tote","")</f>
        <v/>
      </c>
      <c r="AE11" s="78"/>
      <c r="AF11" s="83"/>
      <c r="AG11" s="34" t="str">
        <f t="shared" ref="AG11:AG22" si="10">IF(AND((AH11=MAX(AH$11:AH$25)),(AH$32&lt;&gt;0)),"Tote","")</f>
        <v/>
      </c>
      <c r="AH11" s="78"/>
      <c r="AI11" s="83">
        <v>9</v>
      </c>
      <c r="AJ11" s="34" t="str">
        <f t="shared" ref="AJ11:AJ22" si="11">IF(AND((AK11=MAX(AK$11:AK$25)),(AK$32&lt;&gt;0)),"Tote","")</f>
        <v/>
      </c>
      <c r="AK11" s="78">
        <v>41</v>
      </c>
      <c r="AL11" s="83"/>
      <c r="AM11" s="34" t="str">
        <f t="shared" ref="AM11:AM22" si="12">IF(AND((AN11=MAX(AN$11:AN$25)),(AN$32&lt;&gt;0)),"Tote","")</f>
        <v/>
      </c>
      <c r="AN11" s="78"/>
      <c r="AO11" s="83"/>
      <c r="AP11" s="34" t="str">
        <f t="shared" ref="AP11:AP25" si="13">IF(AND((AQ11=MAX(AQ$11:AQ$25)),(AQ$32&lt;&gt;0)),"Tote","")</f>
        <v/>
      </c>
      <c r="AQ11" s="78"/>
      <c r="AR11" s="83">
        <v>1</v>
      </c>
      <c r="AS11" s="34" t="str">
        <f>IF(AND((AT11=MAX(AT$11:AT$25)),(AT$32&lt;&gt;0)),"Tote","")</f>
        <v/>
      </c>
      <c r="AT11" s="78">
        <v>45</v>
      </c>
      <c r="AU11" s="83">
        <v>1</v>
      </c>
      <c r="AV11" s="34" t="str">
        <f t="shared" ref="AV11:AV22" si="14">IF(AND((AW11=MAX(AW$11:AW$25)),(AW$32&lt;&gt;0)),"Tote","")</f>
        <v/>
      </c>
      <c r="AW11" s="78">
        <v>47</v>
      </c>
      <c r="AX11" s="83"/>
      <c r="AY11" s="34" t="str">
        <f t="shared" ref="AY11:AY22" si="15">IF(AND((AZ11=MAX(AZ$11:AZ$25)),(AZ$32&lt;&gt;0)),"Tote","")</f>
        <v/>
      </c>
      <c r="AZ11" s="78"/>
      <c r="BA11" s="83"/>
      <c r="BB11" s="34" t="str">
        <f t="shared" ref="BB11:BB22" si="16">IF(AND((BC11=MAX(BC$11:BC$25)),(BC$32&lt;&gt;0)),"Tote","")</f>
        <v/>
      </c>
      <c r="BC11" s="78"/>
      <c r="BD11" s="83">
        <v>1</v>
      </c>
      <c r="BE11" s="34" t="str">
        <f t="shared" ref="BE11:BE22" si="17">IF(AND((BF11=MAX(BF$11:BF$25)),(BF$32&lt;&gt;0)),"Tote","")</f>
        <v/>
      </c>
      <c r="BF11" s="78">
        <v>42</v>
      </c>
      <c r="BG11" s="83">
        <v>1</v>
      </c>
      <c r="BH11" s="34" t="str">
        <f t="shared" ref="BH11:BH22" si="18">IF(AND((BI11=MAX(BI$11:BI$25)),(BI$32&lt;&gt;0)),"Tote","")</f>
        <v/>
      </c>
      <c r="BI11" s="78">
        <v>51</v>
      </c>
      <c r="BJ11" s="83"/>
      <c r="BK11" s="34" t="str">
        <f t="shared" ref="BK11:BK22" si="19">IF(AND((BL11=MAX(BL$11:BL$25)),(BL$32&lt;&gt;0)),"Tote","")</f>
        <v/>
      </c>
      <c r="BL11" s="78"/>
      <c r="BM11" s="83"/>
      <c r="BN11" s="34" t="str">
        <f t="shared" ref="BN11:BN22" si="20">IF(AND((BO11=MAX(BO$11:BO$25)),(BO$32&lt;&gt;0)),"Tote","")</f>
        <v/>
      </c>
      <c r="BO11" s="78"/>
      <c r="BP11" s="83"/>
      <c r="BQ11" s="34" t="str">
        <f t="shared" ref="BQ11:BQ22" si="21">IF(AND((BR11=MAX(BR$11:BR$25)),(BR$32&lt;&gt;0)),"Tote","")</f>
        <v/>
      </c>
      <c r="BR11" s="78"/>
      <c r="BS11" s="83"/>
      <c r="BT11" s="34" t="str">
        <f t="shared" ref="BT11:BT22" si="22">IF(AND((BU11=MAX(BU$11:BU$25)),(BU$32&lt;&gt;0)),"Tote","")</f>
        <v/>
      </c>
      <c r="BU11" s="78"/>
      <c r="BV11" s="83"/>
      <c r="BW11" s="34" t="str">
        <f t="shared" ref="BW11:BW22" si="23">IF(AND((BX11=MAX(BX$11:BX$25)),(BX$32&lt;&gt;0)),"Tote","")</f>
        <v/>
      </c>
      <c r="BX11" s="78"/>
      <c r="BY11" s="83"/>
      <c r="BZ11" s="34" t="str">
        <f t="shared" ref="BZ11:BZ22" si="24">IF(AND((CA11=MAX(CA$11:CA$25)),(CA$32&lt;&gt;0)),"Tote","")</f>
        <v/>
      </c>
      <c r="CA11" s="78"/>
    </row>
    <row r="12" spans="1:79" s="38" customFormat="1" ht="15.75" x14ac:dyDescent="0.25">
      <c r="A12" s="82" t="s">
        <v>11</v>
      </c>
      <c r="B12" s="220">
        <v>2</v>
      </c>
      <c r="C12" s="37" t="str">
        <f t="shared" si="0"/>
        <v/>
      </c>
      <c r="D12" s="223">
        <v>43</v>
      </c>
      <c r="E12" s="84">
        <v>2</v>
      </c>
      <c r="F12" s="37" t="str">
        <f t="shared" si="1"/>
        <v/>
      </c>
      <c r="G12" s="79">
        <v>53</v>
      </c>
      <c r="H12" s="84">
        <v>1</v>
      </c>
      <c r="I12" s="37" t="str">
        <f t="shared" si="2"/>
        <v/>
      </c>
      <c r="J12" s="79">
        <v>42</v>
      </c>
      <c r="K12" s="84"/>
      <c r="L12" s="37" t="str">
        <f t="shared" si="3"/>
        <v/>
      </c>
      <c r="M12" s="79"/>
      <c r="N12" s="84"/>
      <c r="O12" s="37" t="str">
        <f t="shared" si="4"/>
        <v/>
      </c>
      <c r="P12" s="79"/>
      <c r="Q12" s="84">
        <v>2</v>
      </c>
      <c r="R12" s="37" t="str">
        <f t="shared" si="5"/>
        <v/>
      </c>
      <c r="S12" s="79">
        <v>43</v>
      </c>
      <c r="T12" s="84"/>
      <c r="U12" s="37" t="str">
        <f t="shared" si="6"/>
        <v/>
      </c>
      <c r="V12" s="79"/>
      <c r="W12" s="84"/>
      <c r="X12" s="37" t="str">
        <f t="shared" si="7"/>
        <v/>
      </c>
      <c r="Y12" s="79"/>
      <c r="Z12" s="84">
        <v>2</v>
      </c>
      <c r="AA12" s="37" t="str">
        <f t="shared" si="8"/>
        <v/>
      </c>
      <c r="AB12" s="79">
        <v>39</v>
      </c>
      <c r="AC12" s="84"/>
      <c r="AD12" s="37" t="str">
        <f t="shared" si="9"/>
        <v/>
      </c>
      <c r="AE12" s="79"/>
      <c r="AF12" s="84"/>
      <c r="AG12" s="37" t="str">
        <f t="shared" si="10"/>
        <v/>
      </c>
      <c r="AH12" s="79"/>
      <c r="AI12" s="84">
        <v>6</v>
      </c>
      <c r="AJ12" s="37" t="str">
        <f t="shared" si="11"/>
        <v/>
      </c>
      <c r="AK12" s="79">
        <v>41</v>
      </c>
      <c r="AL12" s="84">
        <v>7</v>
      </c>
      <c r="AM12" s="37" t="str">
        <f t="shared" si="12"/>
        <v>Tote</v>
      </c>
      <c r="AN12" s="79">
        <v>61</v>
      </c>
      <c r="AO12" s="84">
        <v>7</v>
      </c>
      <c r="AP12" s="37" t="str">
        <f t="shared" si="13"/>
        <v/>
      </c>
      <c r="AQ12" s="79">
        <v>45</v>
      </c>
      <c r="AR12" s="84"/>
      <c r="AS12" s="37"/>
      <c r="AT12" s="79"/>
      <c r="AU12" s="84">
        <v>7</v>
      </c>
      <c r="AV12" s="37" t="str">
        <f t="shared" si="14"/>
        <v>Tote</v>
      </c>
      <c r="AW12" s="79">
        <v>51</v>
      </c>
      <c r="AX12" s="84"/>
      <c r="AY12" s="37" t="str">
        <f t="shared" si="15"/>
        <v/>
      </c>
      <c r="AZ12" s="79"/>
      <c r="BA12" s="84"/>
      <c r="BB12" s="37" t="str">
        <f t="shared" si="16"/>
        <v/>
      </c>
      <c r="BC12" s="79"/>
      <c r="BD12" s="84">
        <v>2</v>
      </c>
      <c r="BE12" s="37" t="str">
        <f t="shared" si="17"/>
        <v/>
      </c>
      <c r="BF12" s="79">
        <v>43</v>
      </c>
      <c r="BG12" s="84"/>
      <c r="BH12" s="37" t="str">
        <f t="shared" si="18"/>
        <v/>
      </c>
      <c r="BI12" s="79"/>
      <c r="BJ12" s="84"/>
      <c r="BK12" s="37" t="str">
        <f t="shared" si="19"/>
        <v/>
      </c>
      <c r="BL12" s="79"/>
      <c r="BM12" s="84"/>
      <c r="BN12" s="37" t="str">
        <f t="shared" si="20"/>
        <v/>
      </c>
      <c r="BO12" s="79"/>
      <c r="BP12" s="84"/>
      <c r="BQ12" s="37" t="str">
        <f t="shared" si="21"/>
        <v/>
      </c>
      <c r="BR12" s="79"/>
      <c r="BS12" s="84"/>
      <c r="BT12" s="37" t="str">
        <f t="shared" si="22"/>
        <v/>
      </c>
      <c r="BU12" s="79"/>
      <c r="BV12" s="84"/>
      <c r="BW12" s="37" t="str">
        <f t="shared" si="23"/>
        <v/>
      </c>
      <c r="BX12" s="79"/>
      <c r="BY12" s="84"/>
      <c r="BZ12" s="37" t="str">
        <f t="shared" si="24"/>
        <v/>
      </c>
      <c r="CA12" s="79"/>
    </row>
    <row r="13" spans="1:79" s="35" customFormat="1" ht="15.75" x14ac:dyDescent="0.25">
      <c r="A13" s="81" t="s">
        <v>12</v>
      </c>
      <c r="B13" s="221">
        <v>3</v>
      </c>
      <c r="C13" s="34" t="str">
        <f t="shared" si="0"/>
        <v/>
      </c>
      <c r="D13" s="224">
        <v>51</v>
      </c>
      <c r="E13" s="83"/>
      <c r="F13" s="34" t="str">
        <f t="shared" si="1"/>
        <v/>
      </c>
      <c r="G13" s="78"/>
      <c r="H13" s="83"/>
      <c r="I13" s="34" t="str">
        <f t="shared" si="2"/>
        <v/>
      </c>
      <c r="J13" s="78"/>
      <c r="K13" s="83"/>
      <c r="L13" s="34" t="str">
        <f t="shared" si="3"/>
        <v/>
      </c>
      <c r="M13" s="78"/>
      <c r="N13" s="83">
        <v>2</v>
      </c>
      <c r="O13" s="34" t="str">
        <f t="shared" si="4"/>
        <v/>
      </c>
      <c r="P13" s="78">
        <v>62</v>
      </c>
      <c r="Q13" s="83"/>
      <c r="R13" s="34" t="str">
        <f t="shared" si="5"/>
        <v/>
      </c>
      <c r="S13" s="78"/>
      <c r="T13" s="83"/>
      <c r="U13" s="34" t="str">
        <f t="shared" si="6"/>
        <v/>
      </c>
      <c r="V13" s="78"/>
      <c r="W13" s="83"/>
      <c r="X13" s="34" t="str">
        <f t="shared" si="7"/>
        <v/>
      </c>
      <c r="Y13" s="78"/>
      <c r="Z13" s="83"/>
      <c r="AA13" s="34" t="str">
        <f t="shared" si="8"/>
        <v/>
      </c>
      <c r="AB13" s="78"/>
      <c r="AC13" s="83"/>
      <c r="AD13" s="34" t="str">
        <f t="shared" si="9"/>
        <v/>
      </c>
      <c r="AE13" s="78"/>
      <c r="AF13" s="83"/>
      <c r="AG13" s="34" t="str">
        <f t="shared" si="10"/>
        <v/>
      </c>
      <c r="AH13" s="78"/>
      <c r="AI13" s="83"/>
      <c r="AJ13" s="34" t="str">
        <f t="shared" si="11"/>
        <v/>
      </c>
      <c r="AK13" s="78"/>
      <c r="AL13" s="83">
        <v>4</v>
      </c>
      <c r="AM13" s="34" t="str">
        <f t="shared" si="12"/>
        <v/>
      </c>
      <c r="AN13" s="78">
        <v>57</v>
      </c>
      <c r="AO13" s="83">
        <v>9</v>
      </c>
      <c r="AP13" s="34" t="str">
        <f t="shared" si="13"/>
        <v/>
      </c>
      <c r="AQ13" s="78">
        <v>42</v>
      </c>
      <c r="AR13" s="83"/>
      <c r="AS13" s="34" t="str">
        <f>IF(AND((AT13=MAX(AT$11:AT$25)),(AT$32&lt;&gt;0)),"Tote","")</f>
        <v/>
      </c>
      <c r="AT13" s="78"/>
      <c r="AU13" s="83"/>
      <c r="AV13" s="34" t="str">
        <f t="shared" si="14"/>
        <v/>
      </c>
      <c r="AW13" s="78"/>
      <c r="AX13" s="83"/>
      <c r="AY13" s="34" t="str">
        <f t="shared" si="15"/>
        <v/>
      </c>
      <c r="AZ13" s="78"/>
      <c r="BA13" s="83">
        <v>7</v>
      </c>
      <c r="BB13" s="34" t="str">
        <f t="shared" si="16"/>
        <v/>
      </c>
      <c r="BC13" s="78">
        <v>44</v>
      </c>
      <c r="BD13" s="83">
        <v>4</v>
      </c>
      <c r="BE13" s="34" t="str">
        <f t="shared" si="17"/>
        <v/>
      </c>
      <c r="BF13" s="78">
        <v>46</v>
      </c>
      <c r="BG13" s="83">
        <v>4</v>
      </c>
      <c r="BH13" s="34" t="str">
        <f t="shared" si="18"/>
        <v/>
      </c>
      <c r="BI13" s="78">
        <v>48</v>
      </c>
      <c r="BJ13" s="83"/>
      <c r="BK13" s="34" t="str">
        <f t="shared" si="19"/>
        <v/>
      </c>
      <c r="BL13" s="78"/>
      <c r="BM13" s="83"/>
      <c r="BN13" s="34" t="str">
        <f t="shared" si="20"/>
        <v/>
      </c>
      <c r="BO13" s="78"/>
      <c r="BP13" s="83"/>
      <c r="BQ13" s="34" t="str">
        <f t="shared" si="21"/>
        <v/>
      </c>
      <c r="BR13" s="78"/>
      <c r="BS13" s="83"/>
      <c r="BT13" s="34" t="str">
        <f t="shared" si="22"/>
        <v/>
      </c>
      <c r="BU13" s="78"/>
      <c r="BV13" s="83"/>
      <c r="BW13" s="34" t="str">
        <f t="shared" si="23"/>
        <v/>
      </c>
      <c r="BX13" s="78"/>
      <c r="BY13" s="83"/>
      <c r="BZ13" s="34" t="str">
        <f t="shared" si="24"/>
        <v/>
      </c>
      <c r="CA13" s="78"/>
    </row>
    <row r="14" spans="1:79" s="38" customFormat="1" ht="15.75" x14ac:dyDescent="0.25">
      <c r="A14" s="82" t="s">
        <v>14</v>
      </c>
      <c r="B14" s="220">
        <v>4</v>
      </c>
      <c r="C14" s="37" t="str">
        <f t="shared" si="0"/>
        <v/>
      </c>
      <c r="D14" s="223">
        <v>47</v>
      </c>
      <c r="E14" s="84"/>
      <c r="F14" s="37" t="str">
        <f t="shared" si="1"/>
        <v/>
      </c>
      <c r="G14" s="79"/>
      <c r="H14" s="84">
        <v>3</v>
      </c>
      <c r="I14" s="37" t="str">
        <f t="shared" si="2"/>
        <v/>
      </c>
      <c r="J14" s="79">
        <v>49</v>
      </c>
      <c r="K14" s="84"/>
      <c r="L14" s="37" t="str">
        <f t="shared" si="3"/>
        <v/>
      </c>
      <c r="M14" s="79"/>
      <c r="N14" s="84"/>
      <c r="O14" s="37" t="str">
        <f t="shared" si="4"/>
        <v/>
      </c>
      <c r="P14" s="79"/>
      <c r="Q14" s="84"/>
      <c r="R14" s="37" t="str">
        <f t="shared" si="5"/>
        <v/>
      </c>
      <c r="S14" s="79"/>
      <c r="T14" s="84"/>
      <c r="U14" s="37" t="str">
        <f t="shared" si="6"/>
        <v/>
      </c>
      <c r="V14" s="79"/>
      <c r="W14" s="84">
        <v>2</v>
      </c>
      <c r="X14" s="37" t="str">
        <f t="shared" si="7"/>
        <v/>
      </c>
      <c r="Y14" s="79">
        <v>42</v>
      </c>
      <c r="Z14" s="84">
        <v>5</v>
      </c>
      <c r="AA14" s="37" t="str">
        <f t="shared" si="8"/>
        <v/>
      </c>
      <c r="AB14" s="79">
        <v>47</v>
      </c>
      <c r="AC14" s="84"/>
      <c r="AD14" s="37" t="str">
        <f t="shared" si="9"/>
        <v/>
      </c>
      <c r="AE14" s="79"/>
      <c r="AF14" s="84"/>
      <c r="AG14" s="37" t="str">
        <f t="shared" si="10"/>
        <v/>
      </c>
      <c r="AH14" s="79"/>
      <c r="AI14" s="84">
        <v>3</v>
      </c>
      <c r="AJ14" s="37" t="str">
        <f t="shared" si="11"/>
        <v/>
      </c>
      <c r="AK14" s="79">
        <v>41</v>
      </c>
      <c r="AL14" s="84"/>
      <c r="AM14" s="37" t="str">
        <f t="shared" si="12"/>
        <v/>
      </c>
      <c r="AN14" s="79"/>
      <c r="AO14" s="84">
        <v>3</v>
      </c>
      <c r="AP14" s="37" t="str">
        <f t="shared" si="13"/>
        <v>Tote</v>
      </c>
      <c r="AQ14" s="79">
        <v>55</v>
      </c>
      <c r="AR14" s="84"/>
      <c r="AS14" s="37" t="str">
        <f>IF(AND((AT14=MAX(AT$11:AT$25)),(AT$32&lt;&gt;0)),"Tote","")</f>
        <v/>
      </c>
      <c r="AT14" s="79"/>
      <c r="AU14" s="84"/>
      <c r="AV14" s="37" t="str">
        <f t="shared" si="14"/>
        <v/>
      </c>
      <c r="AW14" s="79"/>
      <c r="AX14" s="84"/>
      <c r="AY14" s="37" t="str">
        <f t="shared" si="15"/>
        <v/>
      </c>
      <c r="AZ14" s="79"/>
      <c r="BA14" s="84"/>
      <c r="BB14" s="37" t="str">
        <f t="shared" si="16"/>
        <v/>
      </c>
      <c r="BC14" s="79"/>
      <c r="BD14" s="84"/>
      <c r="BE14" s="37" t="str">
        <f t="shared" si="17"/>
        <v/>
      </c>
      <c r="BF14" s="79"/>
      <c r="BG14" s="84"/>
      <c r="BH14" s="37" t="str">
        <f t="shared" si="18"/>
        <v/>
      </c>
      <c r="BI14" s="79"/>
      <c r="BJ14" s="84"/>
      <c r="BK14" s="37" t="str">
        <f t="shared" si="19"/>
        <v/>
      </c>
      <c r="BL14" s="79"/>
      <c r="BM14" s="84"/>
      <c r="BN14" s="37" t="str">
        <f t="shared" si="20"/>
        <v/>
      </c>
      <c r="BO14" s="79"/>
      <c r="BP14" s="84"/>
      <c r="BQ14" s="37" t="str">
        <f t="shared" si="21"/>
        <v/>
      </c>
      <c r="BR14" s="79"/>
      <c r="BS14" s="84"/>
      <c r="BT14" s="37" t="str">
        <f t="shared" si="22"/>
        <v/>
      </c>
      <c r="BU14" s="79"/>
      <c r="BV14" s="84"/>
      <c r="BW14" s="37" t="str">
        <f t="shared" si="23"/>
        <v/>
      </c>
      <c r="BX14" s="79"/>
      <c r="BY14" s="84"/>
      <c r="BZ14" s="37" t="str">
        <f t="shared" si="24"/>
        <v/>
      </c>
      <c r="CA14" s="79"/>
    </row>
    <row r="15" spans="1:79" s="35" customFormat="1" ht="15.75" x14ac:dyDescent="0.25">
      <c r="A15" s="81" t="s">
        <v>38</v>
      </c>
      <c r="B15" s="221">
        <v>5</v>
      </c>
      <c r="C15" s="34" t="str">
        <f t="shared" si="0"/>
        <v>Tote</v>
      </c>
      <c r="D15" s="224">
        <v>65</v>
      </c>
      <c r="E15" s="83">
        <v>5</v>
      </c>
      <c r="F15" s="34" t="str">
        <f t="shared" si="1"/>
        <v/>
      </c>
      <c r="G15" s="78">
        <v>46</v>
      </c>
      <c r="H15" s="83">
        <v>7</v>
      </c>
      <c r="I15" s="34" t="str">
        <f t="shared" si="2"/>
        <v/>
      </c>
      <c r="J15" s="78">
        <v>42</v>
      </c>
      <c r="K15" s="83"/>
      <c r="L15" s="34" t="str">
        <f t="shared" si="3"/>
        <v/>
      </c>
      <c r="M15" s="78"/>
      <c r="N15" s="83">
        <v>6</v>
      </c>
      <c r="O15" s="34" t="str">
        <f t="shared" si="4"/>
        <v/>
      </c>
      <c r="P15" s="78">
        <v>51</v>
      </c>
      <c r="Q15" s="83">
        <v>4</v>
      </c>
      <c r="R15" s="34" t="str">
        <f t="shared" si="5"/>
        <v/>
      </c>
      <c r="S15" s="78">
        <v>49</v>
      </c>
      <c r="T15" s="83"/>
      <c r="U15" s="34" t="str">
        <f t="shared" si="6"/>
        <v/>
      </c>
      <c r="V15" s="78"/>
      <c r="W15" s="83">
        <v>3</v>
      </c>
      <c r="X15" s="34" t="str">
        <f t="shared" si="7"/>
        <v/>
      </c>
      <c r="Y15" s="78">
        <v>47</v>
      </c>
      <c r="Z15" s="83">
        <v>4</v>
      </c>
      <c r="AA15" s="34" t="str">
        <f t="shared" si="8"/>
        <v/>
      </c>
      <c r="AB15" s="78">
        <v>45</v>
      </c>
      <c r="AC15" s="83"/>
      <c r="AD15" s="34" t="str">
        <f t="shared" si="9"/>
        <v/>
      </c>
      <c r="AE15" s="78"/>
      <c r="AF15" s="83"/>
      <c r="AG15" s="34" t="str">
        <f t="shared" si="10"/>
        <v/>
      </c>
      <c r="AH15" s="78"/>
      <c r="AI15" s="83">
        <v>7</v>
      </c>
      <c r="AJ15" s="34" t="str">
        <f t="shared" si="11"/>
        <v/>
      </c>
      <c r="AK15" s="78">
        <v>55</v>
      </c>
      <c r="AL15" s="83">
        <v>8</v>
      </c>
      <c r="AM15" s="34" t="str">
        <f t="shared" si="12"/>
        <v/>
      </c>
      <c r="AN15" s="78">
        <v>53</v>
      </c>
      <c r="AO15" s="83">
        <v>8</v>
      </c>
      <c r="AP15" s="34" t="str">
        <f t="shared" si="13"/>
        <v/>
      </c>
      <c r="AQ15" s="78">
        <v>45</v>
      </c>
      <c r="AR15" s="83">
        <v>7</v>
      </c>
      <c r="AS15" s="34"/>
      <c r="AT15" s="78">
        <v>40</v>
      </c>
      <c r="AU15" s="83">
        <v>6</v>
      </c>
      <c r="AV15" s="34" t="str">
        <f t="shared" si="14"/>
        <v/>
      </c>
      <c r="AW15" s="78">
        <v>42</v>
      </c>
      <c r="AX15" s="83"/>
      <c r="AY15" s="34" t="str">
        <f t="shared" si="15"/>
        <v/>
      </c>
      <c r="AZ15" s="78"/>
      <c r="BA15" s="83">
        <v>3</v>
      </c>
      <c r="BB15" s="34" t="str">
        <f t="shared" si="16"/>
        <v>Tote</v>
      </c>
      <c r="BC15" s="78">
        <v>54</v>
      </c>
      <c r="BD15" s="83">
        <v>7</v>
      </c>
      <c r="BE15" s="34" t="str">
        <f t="shared" si="17"/>
        <v/>
      </c>
      <c r="BF15" s="78">
        <v>46</v>
      </c>
      <c r="BG15" s="83">
        <v>6</v>
      </c>
      <c r="BH15" s="34" t="str">
        <f t="shared" si="18"/>
        <v>Tote</v>
      </c>
      <c r="BI15" s="78">
        <v>55</v>
      </c>
      <c r="BJ15" s="83"/>
      <c r="BK15" s="34" t="str">
        <f t="shared" si="19"/>
        <v/>
      </c>
      <c r="BL15" s="78"/>
      <c r="BM15" s="83"/>
      <c r="BN15" s="34" t="str">
        <f t="shared" si="20"/>
        <v/>
      </c>
      <c r="BO15" s="78"/>
      <c r="BP15" s="83"/>
      <c r="BQ15" s="34" t="str">
        <f t="shared" si="21"/>
        <v/>
      </c>
      <c r="BR15" s="78"/>
      <c r="BS15" s="83"/>
      <c r="BT15" s="34" t="str">
        <f t="shared" si="22"/>
        <v/>
      </c>
      <c r="BU15" s="78"/>
      <c r="BV15" s="83"/>
      <c r="BW15" s="34" t="str">
        <f t="shared" si="23"/>
        <v/>
      </c>
      <c r="BX15" s="78"/>
      <c r="BY15" s="83"/>
      <c r="BZ15" s="34" t="str">
        <f t="shared" si="24"/>
        <v/>
      </c>
      <c r="CA15" s="78"/>
    </row>
    <row r="16" spans="1:79" s="38" customFormat="1" ht="15.75" x14ac:dyDescent="0.25">
      <c r="A16" s="82" t="s">
        <v>48</v>
      </c>
      <c r="B16" s="220">
        <v>6</v>
      </c>
      <c r="C16" s="37" t="str">
        <f t="shared" si="0"/>
        <v/>
      </c>
      <c r="D16" s="223">
        <v>58</v>
      </c>
      <c r="E16" s="84">
        <v>4</v>
      </c>
      <c r="F16" s="37" t="str">
        <f t="shared" si="1"/>
        <v/>
      </c>
      <c r="G16" s="79">
        <v>45</v>
      </c>
      <c r="H16" s="84">
        <v>5</v>
      </c>
      <c r="I16" s="37" t="str">
        <f t="shared" si="2"/>
        <v/>
      </c>
      <c r="J16" s="79">
        <v>49</v>
      </c>
      <c r="K16" s="84"/>
      <c r="L16" s="37" t="str">
        <f t="shared" si="3"/>
        <v/>
      </c>
      <c r="M16" s="79"/>
      <c r="N16" s="84">
        <v>3</v>
      </c>
      <c r="O16" s="37" t="str">
        <f t="shared" si="4"/>
        <v/>
      </c>
      <c r="P16" s="79">
        <v>41</v>
      </c>
      <c r="Q16" s="84">
        <v>1</v>
      </c>
      <c r="R16" s="37" t="str">
        <f t="shared" si="5"/>
        <v/>
      </c>
      <c r="S16" s="79">
        <v>44</v>
      </c>
      <c r="T16" s="84"/>
      <c r="U16" s="37" t="str">
        <f t="shared" si="6"/>
        <v/>
      </c>
      <c r="V16" s="79"/>
      <c r="W16" s="84">
        <v>4</v>
      </c>
      <c r="X16" s="37" t="str">
        <f t="shared" si="7"/>
        <v>Tote</v>
      </c>
      <c r="Y16" s="79">
        <v>57</v>
      </c>
      <c r="Z16" s="84">
        <v>6</v>
      </c>
      <c r="AA16" s="37" t="str">
        <f t="shared" si="8"/>
        <v/>
      </c>
      <c r="AB16" s="79">
        <v>47</v>
      </c>
      <c r="AC16" s="84"/>
      <c r="AD16" s="37" t="str">
        <f t="shared" si="9"/>
        <v/>
      </c>
      <c r="AE16" s="79"/>
      <c r="AF16" s="84"/>
      <c r="AG16" s="37" t="str">
        <f t="shared" si="10"/>
        <v/>
      </c>
      <c r="AH16" s="79"/>
      <c r="AI16" s="84">
        <v>8</v>
      </c>
      <c r="AJ16" s="37" t="str">
        <f t="shared" si="11"/>
        <v/>
      </c>
      <c r="AK16" s="79">
        <v>47</v>
      </c>
      <c r="AL16" s="84">
        <v>6</v>
      </c>
      <c r="AM16" s="37" t="str">
        <f t="shared" si="12"/>
        <v/>
      </c>
      <c r="AN16" s="79">
        <v>51</v>
      </c>
      <c r="AO16" s="84">
        <v>4</v>
      </c>
      <c r="AP16" s="37" t="str">
        <f t="shared" si="13"/>
        <v/>
      </c>
      <c r="AQ16" s="79">
        <v>45</v>
      </c>
      <c r="AR16" s="84">
        <v>3</v>
      </c>
      <c r="AS16" s="37" t="str">
        <f t="shared" ref="AS16:AS22" si="25">IF(AND((AT16=MAX(AT$11:AT$25)),(AT$32&lt;&gt;0)),"Tote","")</f>
        <v>Tote</v>
      </c>
      <c r="AT16" s="79">
        <v>65</v>
      </c>
      <c r="AU16" s="84">
        <v>3</v>
      </c>
      <c r="AV16" s="37" t="str">
        <f t="shared" si="14"/>
        <v/>
      </c>
      <c r="AW16" s="79">
        <v>43</v>
      </c>
      <c r="AX16" s="84"/>
      <c r="AY16" s="37" t="str">
        <f t="shared" si="15"/>
        <v/>
      </c>
      <c r="AZ16" s="79"/>
      <c r="BA16" s="84">
        <v>1</v>
      </c>
      <c r="BB16" s="37" t="str">
        <f t="shared" si="16"/>
        <v/>
      </c>
      <c r="BC16" s="79">
        <v>49</v>
      </c>
      <c r="BD16" s="84">
        <v>6</v>
      </c>
      <c r="BE16" s="37" t="str">
        <f t="shared" si="17"/>
        <v/>
      </c>
      <c r="BF16" s="79">
        <v>43</v>
      </c>
      <c r="BG16" s="84">
        <v>5</v>
      </c>
      <c r="BH16" s="37" t="str">
        <f t="shared" si="18"/>
        <v/>
      </c>
      <c r="BI16" s="79">
        <v>48</v>
      </c>
      <c r="BJ16" s="84"/>
      <c r="BK16" s="37" t="str">
        <f t="shared" si="19"/>
        <v/>
      </c>
      <c r="BL16" s="79"/>
      <c r="BM16" s="84"/>
      <c r="BN16" s="37" t="str">
        <f t="shared" si="20"/>
        <v/>
      </c>
      <c r="BO16" s="79"/>
      <c r="BP16" s="84"/>
      <c r="BQ16" s="37" t="str">
        <f t="shared" si="21"/>
        <v/>
      </c>
      <c r="BR16" s="79"/>
      <c r="BS16" s="84"/>
      <c r="BT16" s="37" t="str">
        <f t="shared" si="22"/>
        <v/>
      </c>
      <c r="BU16" s="79"/>
      <c r="BV16" s="84"/>
      <c r="BW16" s="37" t="str">
        <f t="shared" si="23"/>
        <v/>
      </c>
      <c r="BX16" s="79"/>
      <c r="BY16" s="84"/>
      <c r="BZ16" s="37" t="str">
        <f t="shared" si="24"/>
        <v/>
      </c>
      <c r="CA16" s="79"/>
    </row>
    <row r="17" spans="1:86" s="35" customFormat="1" ht="15.75" x14ac:dyDescent="0.25">
      <c r="A17" s="81" t="s">
        <v>10</v>
      </c>
      <c r="B17" s="221">
        <v>7</v>
      </c>
      <c r="C17" s="34" t="str">
        <f t="shared" si="0"/>
        <v/>
      </c>
      <c r="D17" s="224">
        <v>63</v>
      </c>
      <c r="E17" s="83"/>
      <c r="F17" s="34" t="str">
        <f t="shared" si="1"/>
        <v/>
      </c>
      <c r="G17" s="78"/>
      <c r="H17" s="83">
        <v>4</v>
      </c>
      <c r="I17" s="34" t="str">
        <f t="shared" si="2"/>
        <v/>
      </c>
      <c r="J17" s="78">
        <v>45</v>
      </c>
      <c r="K17" s="83"/>
      <c r="L17" s="34" t="str">
        <f t="shared" si="3"/>
        <v/>
      </c>
      <c r="M17" s="78"/>
      <c r="N17" s="83">
        <v>8</v>
      </c>
      <c r="O17" s="34" t="str">
        <f t="shared" si="4"/>
        <v/>
      </c>
      <c r="P17" s="78">
        <v>42</v>
      </c>
      <c r="Q17" s="83">
        <v>6</v>
      </c>
      <c r="R17" s="34" t="str">
        <f t="shared" si="5"/>
        <v/>
      </c>
      <c r="S17" s="78">
        <v>41</v>
      </c>
      <c r="T17" s="83"/>
      <c r="U17" s="34" t="str">
        <f t="shared" si="6"/>
        <v/>
      </c>
      <c r="V17" s="78"/>
      <c r="W17" s="83">
        <v>6</v>
      </c>
      <c r="X17" s="34" t="str">
        <f t="shared" si="7"/>
        <v/>
      </c>
      <c r="Y17" s="78">
        <v>34</v>
      </c>
      <c r="Z17" s="83"/>
      <c r="AA17" s="34" t="str">
        <f t="shared" si="8"/>
        <v/>
      </c>
      <c r="AB17" s="78"/>
      <c r="AC17" s="83"/>
      <c r="AD17" s="34" t="str">
        <f t="shared" si="9"/>
        <v/>
      </c>
      <c r="AE17" s="78"/>
      <c r="AF17" s="83"/>
      <c r="AG17" s="34" t="str">
        <f t="shared" si="10"/>
        <v/>
      </c>
      <c r="AH17" s="78"/>
      <c r="AI17" s="83"/>
      <c r="AJ17" s="34" t="str">
        <f t="shared" si="11"/>
        <v/>
      </c>
      <c r="AK17" s="78"/>
      <c r="AL17" s="83"/>
      <c r="AM17" s="34" t="str">
        <f t="shared" si="12"/>
        <v/>
      </c>
      <c r="AN17" s="78"/>
      <c r="AO17" s="83">
        <v>1</v>
      </c>
      <c r="AP17" s="34" t="str">
        <f t="shared" si="13"/>
        <v/>
      </c>
      <c r="AQ17" s="78">
        <v>36</v>
      </c>
      <c r="AR17" s="83">
        <v>8</v>
      </c>
      <c r="AS17" s="34" t="str">
        <f t="shared" si="25"/>
        <v/>
      </c>
      <c r="AT17" s="78">
        <v>41</v>
      </c>
      <c r="AU17" s="83"/>
      <c r="AV17" s="34" t="str">
        <f t="shared" si="14"/>
        <v/>
      </c>
      <c r="AW17" s="78"/>
      <c r="AX17" s="83"/>
      <c r="AY17" s="34" t="str">
        <f t="shared" si="15"/>
        <v/>
      </c>
      <c r="AZ17" s="78"/>
      <c r="BA17" s="83">
        <v>4</v>
      </c>
      <c r="BB17" s="34" t="str">
        <f t="shared" si="16"/>
        <v/>
      </c>
      <c r="BC17" s="78">
        <v>44</v>
      </c>
      <c r="BD17" s="83">
        <v>8</v>
      </c>
      <c r="BE17" s="34" t="str">
        <f t="shared" si="17"/>
        <v/>
      </c>
      <c r="BF17" s="78">
        <v>43</v>
      </c>
      <c r="BG17" s="83">
        <v>2</v>
      </c>
      <c r="BH17" s="34" t="str">
        <f t="shared" si="18"/>
        <v/>
      </c>
      <c r="BI17" s="78">
        <v>45</v>
      </c>
      <c r="BJ17" s="83"/>
      <c r="BK17" s="34" t="str">
        <f t="shared" si="19"/>
        <v/>
      </c>
      <c r="BL17" s="78"/>
      <c r="BM17" s="83"/>
      <c r="BN17" s="34" t="str">
        <f t="shared" si="20"/>
        <v/>
      </c>
      <c r="BO17" s="78"/>
      <c r="BP17" s="83"/>
      <c r="BQ17" s="34" t="str">
        <f t="shared" si="21"/>
        <v/>
      </c>
      <c r="BR17" s="78"/>
      <c r="BS17" s="83"/>
      <c r="BT17" s="34" t="str">
        <f t="shared" si="22"/>
        <v/>
      </c>
      <c r="BU17" s="78"/>
      <c r="BV17" s="83"/>
      <c r="BW17" s="34" t="str">
        <f t="shared" si="23"/>
        <v/>
      </c>
      <c r="BX17" s="78"/>
      <c r="BY17" s="83"/>
      <c r="BZ17" s="34" t="str">
        <f t="shared" si="24"/>
        <v/>
      </c>
      <c r="CA17" s="78"/>
    </row>
    <row r="18" spans="1:86" s="38" customFormat="1" ht="15.75" x14ac:dyDescent="0.25">
      <c r="A18" s="82" t="s">
        <v>35</v>
      </c>
      <c r="B18" s="220">
        <v>8</v>
      </c>
      <c r="C18" s="37" t="str">
        <f t="shared" si="0"/>
        <v/>
      </c>
      <c r="D18" s="223">
        <v>45</v>
      </c>
      <c r="E18" s="84">
        <v>3</v>
      </c>
      <c r="F18" s="37" t="str">
        <f t="shared" si="1"/>
        <v>Tote</v>
      </c>
      <c r="G18" s="79">
        <v>57</v>
      </c>
      <c r="H18" s="84">
        <v>8</v>
      </c>
      <c r="I18" s="37" t="str">
        <f t="shared" si="2"/>
        <v>Tote</v>
      </c>
      <c r="J18" s="79">
        <v>55</v>
      </c>
      <c r="K18" s="84"/>
      <c r="L18" s="37" t="str">
        <f t="shared" si="3"/>
        <v/>
      </c>
      <c r="M18" s="79"/>
      <c r="N18" s="84">
        <v>7</v>
      </c>
      <c r="O18" s="37" t="str">
        <f t="shared" si="4"/>
        <v>Tote</v>
      </c>
      <c r="P18" s="79">
        <v>63</v>
      </c>
      <c r="Q18" s="84">
        <v>5</v>
      </c>
      <c r="R18" s="37" t="str">
        <f t="shared" si="5"/>
        <v>Tote</v>
      </c>
      <c r="S18" s="79">
        <v>49.000999999999998</v>
      </c>
      <c r="T18" s="84"/>
      <c r="U18" s="37" t="str">
        <f t="shared" si="6"/>
        <v/>
      </c>
      <c r="V18" s="79"/>
      <c r="W18" s="84">
        <v>5</v>
      </c>
      <c r="X18" s="37" t="str">
        <f t="shared" si="7"/>
        <v/>
      </c>
      <c r="Y18" s="79">
        <v>38</v>
      </c>
      <c r="Z18" s="84">
        <v>8</v>
      </c>
      <c r="AA18" s="37" t="str">
        <f t="shared" si="8"/>
        <v>Tote</v>
      </c>
      <c r="AB18" s="79">
        <v>52</v>
      </c>
      <c r="AC18" s="84"/>
      <c r="AD18" s="37" t="str">
        <f t="shared" si="9"/>
        <v/>
      </c>
      <c r="AE18" s="79"/>
      <c r="AF18" s="84"/>
      <c r="AG18" s="37" t="str">
        <f t="shared" si="10"/>
        <v/>
      </c>
      <c r="AH18" s="79"/>
      <c r="AI18" s="84">
        <v>2</v>
      </c>
      <c r="AJ18" s="37" t="str">
        <f t="shared" si="11"/>
        <v/>
      </c>
      <c r="AK18" s="79">
        <v>50</v>
      </c>
      <c r="AL18" s="84">
        <v>2</v>
      </c>
      <c r="AM18" s="37" t="str">
        <f t="shared" si="12"/>
        <v/>
      </c>
      <c r="AN18" s="79">
        <v>57</v>
      </c>
      <c r="AO18" s="84">
        <v>2</v>
      </c>
      <c r="AP18" s="37" t="str">
        <f t="shared" si="13"/>
        <v/>
      </c>
      <c r="AQ18" s="79">
        <v>48</v>
      </c>
      <c r="AR18" s="84">
        <v>4</v>
      </c>
      <c r="AS18" s="37" t="str">
        <f t="shared" si="25"/>
        <v/>
      </c>
      <c r="AT18" s="79">
        <v>45</v>
      </c>
      <c r="AU18" s="84"/>
      <c r="AV18" s="37" t="str">
        <f t="shared" si="14"/>
        <v/>
      </c>
      <c r="AW18" s="79"/>
      <c r="AX18" s="84"/>
      <c r="AY18" s="37" t="str">
        <f t="shared" si="15"/>
        <v/>
      </c>
      <c r="AZ18" s="79"/>
      <c r="BA18" s="84"/>
      <c r="BB18" s="37" t="str">
        <f t="shared" si="16"/>
        <v/>
      </c>
      <c r="BC18" s="79"/>
      <c r="BD18" s="84"/>
      <c r="BE18" s="37" t="str">
        <f t="shared" si="17"/>
        <v/>
      </c>
      <c r="BF18" s="79"/>
      <c r="BG18" s="84"/>
      <c r="BH18" s="37" t="str">
        <f t="shared" si="18"/>
        <v/>
      </c>
      <c r="BI18" s="79"/>
      <c r="BJ18" s="84"/>
      <c r="BK18" s="37" t="str">
        <f t="shared" si="19"/>
        <v/>
      </c>
      <c r="BL18" s="79"/>
      <c r="BM18" s="84"/>
      <c r="BN18" s="37" t="str">
        <f t="shared" si="20"/>
        <v/>
      </c>
      <c r="BO18" s="79"/>
      <c r="BP18" s="84"/>
      <c r="BQ18" s="37" t="str">
        <f t="shared" si="21"/>
        <v/>
      </c>
      <c r="BR18" s="79"/>
      <c r="BS18" s="84"/>
      <c r="BT18" s="37" t="str">
        <f t="shared" si="22"/>
        <v/>
      </c>
      <c r="BU18" s="79"/>
      <c r="BV18" s="84"/>
      <c r="BW18" s="37" t="str">
        <f t="shared" si="23"/>
        <v/>
      </c>
      <c r="BX18" s="79"/>
      <c r="BY18" s="84"/>
      <c r="BZ18" s="37" t="str">
        <f t="shared" si="24"/>
        <v/>
      </c>
      <c r="CA18" s="79"/>
    </row>
    <row r="19" spans="1:86" s="35" customFormat="1" ht="15.75" x14ac:dyDescent="0.25">
      <c r="A19" s="81" t="s">
        <v>13</v>
      </c>
      <c r="B19" s="221">
        <v>9</v>
      </c>
      <c r="C19" s="34" t="str">
        <f t="shared" si="0"/>
        <v/>
      </c>
      <c r="D19" s="224">
        <v>51</v>
      </c>
      <c r="E19" s="83">
        <v>7</v>
      </c>
      <c r="F19" s="34" t="str">
        <f t="shared" si="1"/>
        <v/>
      </c>
      <c r="G19" s="78">
        <v>41</v>
      </c>
      <c r="H19" s="83">
        <v>9</v>
      </c>
      <c r="I19" s="34" t="str">
        <f t="shared" si="2"/>
        <v/>
      </c>
      <c r="J19" s="78">
        <v>47</v>
      </c>
      <c r="K19" s="83"/>
      <c r="L19" s="34" t="str">
        <f t="shared" si="3"/>
        <v/>
      </c>
      <c r="M19" s="78"/>
      <c r="N19" s="83">
        <v>9</v>
      </c>
      <c r="O19" s="34" t="str">
        <f t="shared" si="4"/>
        <v/>
      </c>
      <c r="P19" s="78">
        <f>6+8+9+5+8+6</f>
        <v>42</v>
      </c>
      <c r="Q19" s="83"/>
      <c r="R19" s="34" t="str">
        <f t="shared" si="5"/>
        <v/>
      </c>
      <c r="S19" s="78"/>
      <c r="T19" s="83"/>
      <c r="U19" s="34" t="str">
        <f t="shared" si="6"/>
        <v/>
      </c>
      <c r="V19" s="78"/>
      <c r="W19" s="83">
        <v>7</v>
      </c>
      <c r="X19" s="34" t="str">
        <f t="shared" si="7"/>
        <v/>
      </c>
      <c r="Y19" s="78">
        <v>43</v>
      </c>
      <c r="Z19" s="83">
        <v>9</v>
      </c>
      <c r="AA19" s="34" t="str">
        <f t="shared" si="8"/>
        <v/>
      </c>
      <c r="AB19" s="78">
        <v>40</v>
      </c>
      <c r="AC19" s="83"/>
      <c r="AD19" s="34" t="str">
        <f t="shared" si="9"/>
        <v/>
      </c>
      <c r="AE19" s="78"/>
      <c r="AF19" s="83"/>
      <c r="AG19" s="34" t="str">
        <f t="shared" si="10"/>
        <v/>
      </c>
      <c r="AH19" s="78"/>
      <c r="AI19" s="83">
        <v>1</v>
      </c>
      <c r="AJ19" s="34" t="str">
        <f t="shared" si="11"/>
        <v/>
      </c>
      <c r="AK19" s="78">
        <v>47</v>
      </c>
      <c r="AL19" s="83">
        <v>1</v>
      </c>
      <c r="AM19" s="34" t="str">
        <f t="shared" si="12"/>
        <v/>
      </c>
      <c r="AN19" s="78">
        <v>57</v>
      </c>
      <c r="AO19" s="83">
        <v>5</v>
      </c>
      <c r="AP19" s="34" t="str">
        <f t="shared" si="13"/>
        <v/>
      </c>
      <c r="AQ19" s="78">
        <v>49</v>
      </c>
      <c r="AR19" s="83">
        <v>9</v>
      </c>
      <c r="AS19" s="34" t="str">
        <f t="shared" si="25"/>
        <v/>
      </c>
      <c r="AT19" s="78">
        <v>45</v>
      </c>
      <c r="AU19" s="83">
        <v>8</v>
      </c>
      <c r="AV19" s="34" t="str">
        <f t="shared" si="14"/>
        <v/>
      </c>
      <c r="AW19" s="78">
        <v>47</v>
      </c>
      <c r="AX19" s="83"/>
      <c r="AY19" s="34" t="str">
        <f t="shared" si="15"/>
        <v/>
      </c>
      <c r="AZ19" s="78"/>
      <c r="BA19" s="83">
        <v>6</v>
      </c>
      <c r="BB19" s="34" t="str">
        <f t="shared" si="16"/>
        <v/>
      </c>
      <c r="BC19" s="78">
        <v>42</v>
      </c>
      <c r="BD19" s="83">
        <v>9</v>
      </c>
      <c r="BE19" s="34" t="str">
        <f t="shared" si="17"/>
        <v>Tote</v>
      </c>
      <c r="BF19" s="78">
        <v>61</v>
      </c>
      <c r="BG19" s="83">
        <v>8</v>
      </c>
      <c r="BH19" s="34" t="str">
        <f t="shared" si="18"/>
        <v/>
      </c>
      <c r="BI19" s="78">
        <v>51</v>
      </c>
      <c r="BJ19" s="83"/>
      <c r="BK19" s="34" t="str">
        <f t="shared" si="19"/>
        <v/>
      </c>
      <c r="BL19" s="78"/>
      <c r="BM19" s="83"/>
      <c r="BN19" s="34" t="str">
        <f t="shared" si="20"/>
        <v/>
      </c>
      <c r="BO19" s="78"/>
      <c r="BP19" s="83"/>
      <c r="BQ19" s="34" t="str">
        <f t="shared" si="21"/>
        <v/>
      </c>
      <c r="BR19" s="78"/>
      <c r="BS19" s="83"/>
      <c r="BT19" s="34" t="str">
        <f t="shared" si="22"/>
        <v/>
      </c>
      <c r="BU19" s="78"/>
      <c r="BV19" s="83"/>
      <c r="BW19" s="34" t="str">
        <f t="shared" si="23"/>
        <v/>
      </c>
      <c r="BX19" s="78"/>
      <c r="BY19" s="83"/>
      <c r="BZ19" s="34" t="str">
        <f t="shared" si="24"/>
        <v/>
      </c>
      <c r="CA19" s="78"/>
    </row>
    <row r="20" spans="1:86" s="38" customFormat="1" ht="15.75" x14ac:dyDescent="0.25">
      <c r="A20" s="82" t="s">
        <v>91</v>
      </c>
      <c r="B20" s="220"/>
      <c r="C20" s="37" t="str">
        <f t="shared" si="0"/>
        <v/>
      </c>
      <c r="D20" s="223"/>
      <c r="E20" s="84">
        <v>6</v>
      </c>
      <c r="F20" s="37" t="str">
        <f t="shared" si="1"/>
        <v/>
      </c>
      <c r="G20" s="79">
        <v>39</v>
      </c>
      <c r="H20" s="84">
        <v>2</v>
      </c>
      <c r="I20" s="37" t="str">
        <f t="shared" si="2"/>
        <v/>
      </c>
      <c r="J20" s="79">
        <v>44</v>
      </c>
      <c r="K20" s="84"/>
      <c r="L20" s="37" t="str">
        <f t="shared" si="3"/>
        <v/>
      </c>
      <c r="M20" s="79"/>
      <c r="N20" s="84">
        <v>5</v>
      </c>
      <c r="O20" s="37" t="str">
        <f t="shared" si="4"/>
        <v/>
      </c>
      <c r="P20" s="79">
        <v>37</v>
      </c>
      <c r="Q20" s="84">
        <v>3</v>
      </c>
      <c r="R20" s="37" t="str">
        <f t="shared" si="5"/>
        <v/>
      </c>
      <c r="S20" s="79">
        <v>49</v>
      </c>
      <c r="T20" s="84"/>
      <c r="U20" s="37" t="str">
        <f t="shared" si="6"/>
        <v/>
      </c>
      <c r="V20" s="79"/>
      <c r="W20" s="84"/>
      <c r="X20" s="37" t="str">
        <f t="shared" si="7"/>
        <v/>
      </c>
      <c r="Y20" s="79"/>
      <c r="Z20" s="84">
        <v>7</v>
      </c>
      <c r="AA20" s="37" t="str">
        <f t="shared" si="8"/>
        <v/>
      </c>
      <c r="AB20" s="79">
        <v>36</v>
      </c>
      <c r="AC20" s="84"/>
      <c r="AD20" s="37" t="str">
        <f t="shared" si="9"/>
        <v/>
      </c>
      <c r="AE20" s="79"/>
      <c r="AF20" s="84"/>
      <c r="AG20" s="37" t="str">
        <f t="shared" si="10"/>
        <v/>
      </c>
      <c r="AH20" s="79"/>
      <c r="AI20" s="84">
        <v>5</v>
      </c>
      <c r="AJ20" s="37" t="str">
        <f t="shared" si="11"/>
        <v/>
      </c>
      <c r="AK20" s="79">
        <v>51</v>
      </c>
      <c r="AL20" s="84">
        <v>5</v>
      </c>
      <c r="AM20" s="37" t="str">
        <f t="shared" si="12"/>
        <v/>
      </c>
      <c r="AN20" s="79">
        <v>54</v>
      </c>
      <c r="AO20" s="84">
        <v>6</v>
      </c>
      <c r="AP20" s="37" t="str">
        <f t="shared" si="13"/>
        <v/>
      </c>
      <c r="AQ20" s="79">
        <v>37</v>
      </c>
      <c r="AR20" s="84">
        <v>2</v>
      </c>
      <c r="AS20" s="37" t="str">
        <f t="shared" si="25"/>
        <v/>
      </c>
      <c r="AT20" s="79">
        <v>48</v>
      </c>
      <c r="AU20" s="84">
        <v>4</v>
      </c>
      <c r="AV20" s="37" t="str">
        <f t="shared" si="14"/>
        <v/>
      </c>
      <c r="AW20" s="79">
        <v>39</v>
      </c>
      <c r="AX20" s="84"/>
      <c r="AY20" s="37" t="str">
        <f t="shared" si="15"/>
        <v/>
      </c>
      <c r="AZ20" s="79"/>
      <c r="BA20" s="84"/>
      <c r="BB20" s="37" t="str">
        <f t="shared" si="16"/>
        <v/>
      </c>
      <c r="BC20" s="79"/>
      <c r="BD20" s="84">
        <v>3</v>
      </c>
      <c r="BE20" s="37" t="str">
        <f t="shared" si="17"/>
        <v/>
      </c>
      <c r="BF20" s="79">
        <v>59</v>
      </c>
      <c r="BG20" s="84">
        <v>7</v>
      </c>
      <c r="BH20" s="37" t="str">
        <f t="shared" si="18"/>
        <v/>
      </c>
      <c r="BI20" s="79">
        <v>44</v>
      </c>
      <c r="BJ20" s="84"/>
      <c r="BK20" s="37" t="str">
        <f t="shared" si="19"/>
        <v/>
      </c>
      <c r="BL20" s="79"/>
      <c r="BM20" s="84"/>
      <c r="BN20" s="37" t="str">
        <f t="shared" si="20"/>
        <v/>
      </c>
      <c r="BO20" s="79"/>
      <c r="BP20" s="84"/>
      <c r="BQ20" s="37" t="str">
        <f t="shared" si="21"/>
        <v/>
      </c>
      <c r="BR20" s="79"/>
      <c r="BS20" s="84"/>
      <c r="BT20" s="37" t="str">
        <f t="shared" si="22"/>
        <v/>
      </c>
      <c r="BU20" s="79"/>
      <c r="BV20" s="84"/>
      <c r="BW20" s="37" t="str">
        <f t="shared" si="23"/>
        <v/>
      </c>
      <c r="BX20" s="79"/>
      <c r="BY20" s="84"/>
      <c r="BZ20" s="37" t="str">
        <f t="shared" si="24"/>
        <v/>
      </c>
      <c r="CA20" s="79"/>
      <c r="CB20" s="111"/>
      <c r="CC20" s="111"/>
      <c r="CD20" s="111"/>
      <c r="CE20" s="111"/>
      <c r="CF20" s="111"/>
      <c r="CG20" s="111"/>
      <c r="CH20" s="111"/>
    </row>
    <row r="21" spans="1:86" s="35" customFormat="1" ht="15.75" x14ac:dyDescent="0.25">
      <c r="A21" s="81" t="s">
        <v>92</v>
      </c>
      <c r="B21" s="221"/>
      <c r="C21" s="34" t="str">
        <f t="shared" si="0"/>
        <v/>
      </c>
      <c r="D21" s="224"/>
      <c r="E21" s="83"/>
      <c r="F21" s="34" t="str">
        <f t="shared" si="1"/>
        <v/>
      </c>
      <c r="G21" s="78"/>
      <c r="H21" s="83">
        <v>6</v>
      </c>
      <c r="I21" s="34" t="str">
        <f t="shared" si="2"/>
        <v/>
      </c>
      <c r="J21" s="78">
        <v>45</v>
      </c>
      <c r="K21" s="83"/>
      <c r="L21" s="34" t="str">
        <f t="shared" si="3"/>
        <v/>
      </c>
      <c r="M21" s="78"/>
      <c r="N21" s="83">
        <v>4</v>
      </c>
      <c r="O21" s="34" t="str">
        <f t="shared" si="4"/>
        <v/>
      </c>
      <c r="P21" s="78">
        <v>40</v>
      </c>
      <c r="Q21" s="83"/>
      <c r="R21" s="34" t="str">
        <f t="shared" si="5"/>
        <v/>
      </c>
      <c r="S21" s="78"/>
      <c r="T21" s="83"/>
      <c r="U21" s="34" t="str">
        <f t="shared" si="6"/>
        <v/>
      </c>
      <c r="V21" s="78"/>
      <c r="W21" s="83">
        <v>1</v>
      </c>
      <c r="X21" s="34" t="str">
        <f t="shared" si="7"/>
        <v/>
      </c>
      <c r="Y21" s="78">
        <v>32</v>
      </c>
      <c r="Z21" s="83">
        <v>3</v>
      </c>
      <c r="AA21" s="34" t="str">
        <f t="shared" si="8"/>
        <v/>
      </c>
      <c r="AB21" s="78">
        <v>38</v>
      </c>
      <c r="AC21" s="83"/>
      <c r="AD21" s="34" t="str">
        <f t="shared" si="9"/>
        <v/>
      </c>
      <c r="AE21" s="78"/>
      <c r="AF21" s="83"/>
      <c r="AG21" s="34" t="str">
        <f t="shared" si="10"/>
        <v/>
      </c>
      <c r="AH21" s="78"/>
      <c r="AI21" s="83">
        <v>4</v>
      </c>
      <c r="AJ21" s="34" t="str">
        <f t="shared" si="11"/>
        <v>Tote</v>
      </c>
      <c r="AK21" s="78">
        <v>55.000100000000003</v>
      </c>
      <c r="AL21" s="83">
        <v>3</v>
      </c>
      <c r="AM21" s="34" t="str">
        <f t="shared" si="12"/>
        <v/>
      </c>
      <c r="AN21" s="78">
        <v>35</v>
      </c>
      <c r="AO21" s="83"/>
      <c r="AP21" s="34" t="str">
        <f t="shared" si="13"/>
        <v/>
      </c>
      <c r="AQ21" s="78"/>
      <c r="AR21" s="83">
        <v>5</v>
      </c>
      <c r="AS21" s="34" t="str">
        <f t="shared" si="25"/>
        <v/>
      </c>
      <c r="AT21" s="78">
        <v>52</v>
      </c>
      <c r="AU21" s="83">
        <v>5</v>
      </c>
      <c r="AV21" s="34" t="str">
        <f t="shared" si="14"/>
        <v/>
      </c>
      <c r="AW21" s="78">
        <v>47</v>
      </c>
      <c r="AX21" s="83"/>
      <c r="AY21" s="34" t="str">
        <f t="shared" si="15"/>
        <v/>
      </c>
      <c r="AZ21" s="78"/>
      <c r="BA21" s="83">
        <v>2</v>
      </c>
      <c r="BB21" s="34" t="str">
        <f t="shared" si="16"/>
        <v/>
      </c>
      <c r="BC21" s="78">
        <v>42</v>
      </c>
      <c r="BD21" s="83">
        <v>5</v>
      </c>
      <c r="BE21" s="34" t="str">
        <f t="shared" si="17"/>
        <v/>
      </c>
      <c r="BF21" s="78">
        <v>43</v>
      </c>
      <c r="BG21" s="83">
        <v>3</v>
      </c>
      <c r="BH21" s="34" t="str">
        <f t="shared" si="18"/>
        <v/>
      </c>
      <c r="BI21" s="78">
        <v>38</v>
      </c>
      <c r="BJ21" s="83"/>
      <c r="BK21" s="34" t="str">
        <f t="shared" si="19"/>
        <v/>
      </c>
      <c r="BL21" s="78"/>
      <c r="BM21" s="83"/>
      <c r="BN21" s="34" t="str">
        <f t="shared" si="20"/>
        <v/>
      </c>
      <c r="BO21" s="78"/>
      <c r="BP21" s="83"/>
      <c r="BQ21" s="34" t="str">
        <f t="shared" si="21"/>
        <v/>
      </c>
      <c r="BR21" s="78"/>
      <c r="BS21" s="83"/>
      <c r="BT21" s="34" t="str">
        <f t="shared" si="22"/>
        <v/>
      </c>
      <c r="BU21" s="78"/>
      <c r="BV21" s="83"/>
      <c r="BW21" s="34" t="str">
        <f t="shared" si="23"/>
        <v/>
      </c>
      <c r="BX21" s="78"/>
      <c r="BY21" s="83"/>
      <c r="BZ21" s="34" t="str">
        <f t="shared" si="24"/>
        <v/>
      </c>
      <c r="CA21" s="78"/>
      <c r="CB21" s="112"/>
      <c r="CC21" s="112"/>
      <c r="CD21" s="112"/>
      <c r="CE21" s="112"/>
      <c r="CF21" s="112"/>
      <c r="CG21" s="112"/>
      <c r="CH21" s="112"/>
    </row>
    <row r="22" spans="1:86" s="38" customFormat="1" ht="15.75" x14ac:dyDescent="0.25">
      <c r="A22" s="82" t="s">
        <v>103</v>
      </c>
      <c r="B22" s="220"/>
      <c r="C22" s="37" t="str">
        <f t="shared" si="0"/>
        <v/>
      </c>
      <c r="D22" s="223"/>
      <c r="E22" s="84"/>
      <c r="F22" s="37" t="str">
        <f t="shared" si="1"/>
        <v/>
      </c>
      <c r="G22" s="79"/>
      <c r="H22" s="84"/>
      <c r="I22" s="37" t="str">
        <f t="shared" si="2"/>
        <v/>
      </c>
      <c r="J22" s="79"/>
      <c r="K22" s="84"/>
      <c r="L22" s="37" t="str">
        <f t="shared" si="3"/>
        <v/>
      </c>
      <c r="M22" s="79"/>
      <c r="N22" s="84"/>
      <c r="O22" s="37"/>
      <c r="P22" s="79"/>
      <c r="Q22" s="84"/>
      <c r="R22" s="37" t="str">
        <f t="shared" si="5"/>
        <v/>
      </c>
      <c r="S22" s="79"/>
      <c r="T22" s="84"/>
      <c r="U22" s="37" t="str">
        <f t="shared" si="6"/>
        <v/>
      </c>
      <c r="V22" s="79"/>
      <c r="W22" s="84"/>
      <c r="X22" s="37" t="str">
        <f t="shared" si="7"/>
        <v/>
      </c>
      <c r="Y22" s="79"/>
      <c r="Z22" s="84"/>
      <c r="AA22" s="37" t="str">
        <f t="shared" si="8"/>
        <v/>
      </c>
      <c r="AB22" s="79"/>
      <c r="AC22" s="84"/>
      <c r="AD22" s="37" t="str">
        <f t="shared" si="9"/>
        <v/>
      </c>
      <c r="AE22" s="79"/>
      <c r="AF22" s="84"/>
      <c r="AG22" s="37" t="str">
        <f t="shared" si="10"/>
        <v/>
      </c>
      <c r="AH22" s="79"/>
      <c r="AI22" s="84"/>
      <c r="AJ22" s="37" t="str">
        <f t="shared" si="11"/>
        <v/>
      </c>
      <c r="AK22" s="79"/>
      <c r="AL22" s="84"/>
      <c r="AM22" s="37" t="str">
        <f t="shared" si="12"/>
        <v/>
      </c>
      <c r="AN22" s="79"/>
      <c r="AO22" s="84"/>
      <c r="AP22" s="37" t="str">
        <f t="shared" si="13"/>
        <v/>
      </c>
      <c r="AQ22" s="79"/>
      <c r="AR22" s="84">
        <v>6</v>
      </c>
      <c r="AS22" s="37" t="str">
        <f t="shared" si="25"/>
        <v/>
      </c>
      <c r="AT22" s="79">
        <v>42</v>
      </c>
      <c r="AU22" s="84"/>
      <c r="AV22" s="37" t="str">
        <f t="shared" si="14"/>
        <v/>
      </c>
      <c r="AW22" s="79"/>
      <c r="AX22" s="84"/>
      <c r="AY22" s="37" t="str">
        <f t="shared" si="15"/>
        <v/>
      </c>
      <c r="AZ22" s="79"/>
      <c r="BA22" s="84"/>
      <c r="BB22" s="37" t="str">
        <f t="shared" si="16"/>
        <v/>
      </c>
      <c r="BC22" s="79"/>
      <c r="BD22" s="84"/>
      <c r="BE22" s="37" t="str">
        <f t="shared" si="17"/>
        <v/>
      </c>
      <c r="BF22" s="79"/>
      <c r="BG22" s="84"/>
      <c r="BH22" s="37" t="str">
        <f t="shared" si="18"/>
        <v/>
      </c>
      <c r="BI22" s="79"/>
      <c r="BJ22" s="84"/>
      <c r="BK22" s="37" t="str">
        <f t="shared" si="19"/>
        <v/>
      </c>
      <c r="BL22" s="79"/>
      <c r="BM22" s="84"/>
      <c r="BN22" s="37" t="str">
        <f t="shared" si="20"/>
        <v/>
      </c>
      <c r="BO22" s="79"/>
      <c r="BP22" s="84"/>
      <c r="BQ22" s="37" t="str">
        <f t="shared" si="21"/>
        <v/>
      </c>
      <c r="BR22" s="79"/>
      <c r="BS22" s="84"/>
      <c r="BT22" s="37" t="str">
        <f t="shared" si="22"/>
        <v/>
      </c>
      <c r="BU22" s="79"/>
      <c r="BV22" s="84"/>
      <c r="BW22" s="37" t="str">
        <f t="shared" si="23"/>
        <v/>
      </c>
      <c r="BX22" s="79"/>
      <c r="BY22" s="84"/>
      <c r="BZ22" s="37" t="str">
        <f t="shared" si="24"/>
        <v/>
      </c>
      <c r="CA22" s="79"/>
      <c r="CB22" s="111"/>
      <c r="CC22" s="111"/>
      <c r="CD22" s="111"/>
      <c r="CE22" s="111"/>
      <c r="CF22" s="111"/>
      <c r="CG22" s="111"/>
      <c r="CH22" s="111"/>
    </row>
    <row r="23" spans="1:86" s="35" customFormat="1" ht="15.75" x14ac:dyDescent="0.25">
      <c r="A23" s="81" t="s">
        <v>104</v>
      </c>
      <c r="B23" s="221"/>
      <c r="C23" s="34" t="str">
        <f t="shared" si="0"/>
        <v/>
      </c>
      <c r="D23" s="224"/>
      <c r="E23" s="83"/>
      <c r="F23" s="34"/>
      <c r="G23" s="78"/>
      <c r="H23" s="83"/>
      <c r="I23" s="34"/>
      <c r="J23" s="78"/>
      <c r="K23" s="83"/>
      <c r="L23" s="34"/>
      <c r="M23" s="78"/>
      <c r="N23" s="83"/>
      <c r="O23" s="34"/>
      <c r="P23" s="78"/>
      <c r="Q23" s="83"/>
      <c r="R23" s="34"/>
      <c r="S23" s="78"/>
      <c r="T23" s="83"/>
      <c r="U23" s="34"/>
      <c r="V23" s="78"/>
      <c r="W23" s="83"/>
      <c r="X23" s="34"/>
      <c r="Y23" s="78"/>
      <c r="Z23" s="83"/>
      <c r="AA23" s="34"/>
      <c r="AB23" s="78"/>
      <c r="AC23" s="83"/>
      <c r="AD23" s="34"/>
      <c r="AE23" s="78"/>
      <c r="AF23" s="83"/>
      <c r="AG23" s="34"/>
      <c r="AH23" s="78"/>
      <c r="AI23" s="83"/>
      <c r="AJ23" s="34"/>
      <c r="AK23" s="78"/>
      <c r="AL23" s="83"/>
      <c r="AM23" s="34"/>
      <c r="AN23" s="78"/>
      <c r="AO23" s="83"/>
      <c r="AP23" s="34" t="str">
        <f t="shared" si="13"/>
        <v/>
      </c>
      <c r="AQ23" s="78"/>
      <c r="AR23" s="83"/>
      <c r="AS23" s="34"/>
      <c r="AT23" s="78"/>
      <c r="AU23" s="83">
        <v>2</v>
      </c>
      <c r="AV23" s="34"/>
      <c r="AW23" s="78">
        <v>44</v>
      </c>
      <c r="AX23" s="83"/>
      <c r="AY23" s="34"/>
      <c r="AZ23" s="78"/>
      <c r="BA23" s="83"/>
      <c r="BB23" s="34"/>
      <c r="BC23" s="78"/>
      <c r="BD23" s="83"/>
      <c r="BE23" s="34"/>
      <c r="BF23" s="78"/>
      <c r="BG23" s="83"/>
      <c r="BH23" s="34"/>
      <c r="BI23" s="78"/>
      <c r="BJ23" s="83"/>
      <c r="BK23" s="34"/>
      <c r="BL23" s="78"/>
      <c r="BM23" s="83"/>
      <c r="BN23" s="34"/>
      <c r="BO23" s="78"/>
      <c r="BP23" s="83"/>
      <c r="BQ23" s="34"/>
      <c r="BR23" s="78"/>
      <c r="BS23" s="83"/>
      <c r="BT23" s="34"/>
      <c r="BU23" s="78"/>
      <c r="BV23" s="83"/>
      <c r="BW23" s="34"/>
      <c r="BX23" s="78"/>
      <c r="BY23" s="83"/>
      <c r="BZ23" s="34"/>
      <c r="CA23" s="78"/>
      <c r="CB23" s="112"/>
      <c r="CC23" s="112"/>
      <c r="CD23" s="112"/>
      <c r="CE23" s="112"/>
      <c r="CF23" s="112"/>
      <c r="CG23" s="112"/>
      <c r="CH23" s="112"/>
    </row>
    <row r="24" spans="1:86" s="38" customFormat="1" ht="15.75" x14ac:dyDescent="0.25">
      <c r="A24" s="82" t="s">
        <v>105</v>
      </c>
      <c r="B24" s="220"/>
      <c r="C24" s="37" t="str">
        <f t="shared" si="0"/>
        <v/>
      </c>
      <c r="D24" s="223"/>
      <c r="E24" s="84"/>
      <c r="F24" s="37"/>
      <c r="G24" s="79"/>
      <c r="H24" s="84"/>
      <c r="I24" s="37"/>
      <c r="J24" s="79"/>
      <c r="K24" s="84"/>
      <c r="L24" s="37"/>
      <c r="M24" s="79"/>
      <c r="N24" s="84"/>
      <c r="O24" s="37"/>
      <c r="P24" s="79"/>
      <c r="Q24" s="84"/>
      <c r="R24" s="37"/>
      <c r="S24" s="79"/>
      <c r="T24" s="84"/>
      <c r="U24" s="37"/>
      <c r="V24" s="79"/>
      <c r="W24" s="84"/>
      <c r="X24" s="37"/>
      <c r="Y24" s="79"/>
      <c r="Z24" s="84"/>
      <c r="AA24" s="37"/>
      <c r="AB24" s="79"/>
      <c r="AC24" s="84"/>
      <c r="AD24" s="37"/>
      <c r="AE24" s="79"/>
      <c r="AF24" s="84"/>
      <c r="AG24" s="37"/>
      <c r="AH24" s="79"/>
      <c r="AI24" s="84"/>
      <c r="AJ24" s="37"/>
      <c r="AK24" s="79"/>
      <c r="AL24" s="84"/>
      <c r="AM24" s="37"/>
      <c r="AN24" s="79"/>
      <c r="AO24" s="84"/>
      <c r="AP24" s="37" t="str">
        <f t="shared" si="13"/>
        <v/>
      </c>
      <c r="AQ24" s="79"/>
      <c r="AR24" s="84"/>
      <c r="AS24" s="37"/>
      <c r="AT24" s="79"/>
      <c r="AU24" s="84"/>
      <c r="AV24" s="37"/>
      <c r="AW24" s="79"/>
      <c r="AX24" s="84"/>
      <c r="AY24" s="37"/>
      <c r="AZ24" s="79"/>
      <c r="BA24" s="84">
        <v>5</v>
      </c>
      <c r="BB24" s="37"/>
      <c r="BC24" s="79">
        <v>44</v>
      </c>
      <c r="BD24" s="84"/>
      <c r="BE24" s="37"/>
      <c r="BF24" s="79"/>
      <c r="BG24" s="84"/>
      <c r="BH24" s="37"/>
      <c r="BI24" s="79"/>
      <c r="BJ24" s="84"/>
      <c r="BK24" s="37"/>
      <c r="BL24" s="79"/>
      <c r="BM24" s="84"/>
      <c r="BN24" s="37"/>
      <c r="BO24" s="79"/>
      <c r="BP24" s="84"/>
      <c r="BQ24" s="37"/>
      <c r="BR24" s="79"/>
      <c r="BS24" s="84"/>
      <c r="BT24" s="37"/>
      <c r="BU24" s="79"/>
      <c r="BV24" s="84"/>
      <c r="BW24" s="37"/>
      <c r="BX24" s="79"/>
      <c r="BY24" s="84"/>
      <c r="BZ24" s="37"/>
      <c r="CA24" s="79"/>
      <c r="CB24" s="111"/>
      <c r="CC24" s="111"/>
      <c r="CD24" s="111"/>
      <c r="CE24" s="111"/>
      <c r="CF24" s="111"/>
      <c r="CG24" s="111"/>
      <c r="CH24" s="111"/>
    </row>
    <row r="25" spans="1:86" s="35" customFormat="1" ht="15.75" x14ac:dyDescent="0.25">
      <c r="A25" s="81"/>
      <c r="B25" s="221"/>
      <c r="C25" s="34" t="str">
        <f t="shared" si="0"/>
        <v/>
      </c>
      <c r="D25" s="224"/>
      <c r="E25" s="83"/>
      <c r="F25" s="34" t="str">
        <f>IF(AND((G25=MAX(G$11:G$25)),(G$32&lt;&gt;0)),"Tote","")</f>
        <v/>
      </c>
      <c r="G25" s="78"/>
      <c r="H25" s="83"/>
      <c r="I25" s="34" t="str">
        <f>IF(AND((J25=MAX(J$11:J$25)),(J$32&lt;&gt;0)),"Tote","")</f>
        <v/>
      </c>
      <c r="J25" s="78"/>
      <c r="K25" s="83"/>
      <c r="L25" s="34" t="str">
        <f>IF(AND((M25=MAX(M$11:M$25)),(M$32&lt;&gt;0)),"Tote","")</f>
        <v/>
      </c>
      <c r="M25" s="78"/>
      <c r="N25" s="83"/>
      <c r="O25" s="34"/>
      <c r="P25" s="78"/>
      <c r="Q25" s="83"/>
      <c r="R25" s="34" t="str">
        <f>IF(AND((S25=MAX(S$11:S$25)),(S$32&lt;&gt;0)),"Tote","")</f>
        <v/>
      </c>
      <c r="S25" s="78"/>
      <c r="T25" s="83"/>
      <c r="U25" s="34" t="str">
        <f>IF(AND((V25=MAX(V$11:V$25)),(V$32&lt;&gt;0)),"Tote","")</f>
        <v/>
      </c>
      <c r="V25" s="78"/>
      <c r="W25" s="83"/>
      <c r="X25" s="34" t="str">
        <f>IF(AND((Y25=MAX(Y$11:Y$25)),(Y$32&lt;&gt;0)),"Tote","")</f>
        <v/>
      </c>
      <c r="Y25" s="78"/>
      <c r="Z25" s="83"/>
      <c r="AA25" s="34" t="str">
        <f>IF(AND((AB25=MAX(AB$11:AB$25)),(AB$32&lt;&gt;0)),"Tote","")</f>
        <v/>
      </c>
      <c r="AB25" s="78"/>
      <c r="AC25" s="83"/>
      <c r="AD25" s="34" t="str">
        <f>IF(AND((AE25=MAX(AE$11:AE$25)),(AE$32&lt;&gt;0)),"Tote","")</f>
        <v/>
      </c>
      <c r="AE25" s="78"/>
      <c r="AF25" s="83"/>
      <c r="AG25" s="34" t="str">
        <f>IF(AND((AH25=MAX(AH$11:AH$25)),(AH$32&lt;&gt;0)),"Tote","")</f>
        <v/>
      </c>
      <c r="AH25" s="78"/>
      <c r="AI25" s="83"/>
      <c r="AJ25" s="34" t="str">
        <f>IF(AND((AK25=MAX(AK$11:AK$25)),(AK$32&lt;&gt;0)),"Tote","")</f>
        <v/>
      </c>
      <c r="AK25" s="78"/>
      <c r="AL25" s="83"/>
      <c r="AM25" s="34" t="str">
        <f>IF(AND((AN25=MAX(AN$11:AN$25)),(AN$32&lt;&gt;0)),"Tote","")</f>
        <v/>
      </c>
      <c r="AN25" s="78"/>
      <c r="AO25" s="83"/>
      <c r="AP25" s="34" t="str">
        <f t="shared" si="13"/>
        <v/>
      </c>
      <c r="AQ25" s="78"/>
      <c r="AR25" s="83"/>
      <c r="AS25" s="34" t="str">
        <f>IF(AND((AT25=MAX(AT$11:AT$25)),(AT$32&lt;&gt;0)),"Tote","")</f>
        <v/>
      </c>
      <c r="AT25" s="78"/>
      <c r="AU25" s="83"/>
      <c r="AV25" s="34" t="str">
        <f>IF(AND((AW25=MAX(AW$11:AW$25)),(AW$32&lt;&gt;0)),"Tote","")</f>
        <v/>
      </c>
      <c r="AW25" s="78"/>
      <c r="AX25" s="83"/>
      <c r="AY25" s="346"/>
      <c r="AZ25" s="78"/>
      <c r="BA25" s="83"/>
      <c r="BB25" s="34" t="str">
        <f>IF(AND((BC25=MAX(BC$11:BC$25)),(BC$32&lt;&gt;0)),"Tote","")</f>
        <v/>
      </c>
      <c r="BC25" s="78"/>
      <c r="BD25" s="83"/>
      <c r="BE25" s="34" t="str">
        <f>IF(AND((BF25=MAX(BF$11:BF$25)),(BF$32&lt;&gt;0)),"Tote","")</f>
        <v/>
      </c>
      <c r="BF25" s="78"/>
      <c r="BG25" s="83"/>
      <c r="BH25" s="34" t="str">
        <f>IF(AND((BI25=MAX(BI$11:BI$25)),(BI$32&lt;&gt;0)),"Tote","")</f>
        <v/>
      </c>
      <c r="BI25" s="78"/>
      <c r="BJ25" s="83"/>
      <c r="BK25" s="34" t="str">
        <f>IF(AND((BL25=MAX(BL$11:BL$25)),(BL$32&lt;&gt;0)),"Tote","")</f>
        <v/>
      </c>
      <c r="BL25" s="78"/>
      <c r="BM25" s="83"/>
      <c r="BN25" s="34"/>
      <c r="BO25" s="78"/>
      <c r="BP25" s="83"/>
      <c r="BQ25" s="34" t="str">
        <f>IF(AND((BR25=MAX(BR$11:BR$25)),(BR$32&lt;&gt;0)),"Tote","")</f>
        <v/>
      </c>
      <c r="BR25" s="78"/>
      <c r="BS25" s="83"/>
      <c r="BT25" s="34" t="str">
        <f>IF(AND((BU25=MAX(BU$11:BU$25)),(BU$32&lt;&gt;0)),"Tote","")</f>
        <v/>
      </c>
      <c r="BU25" s="78"/>
      <c r="BV25" s="83"/>
      <c r="BW25" s="34" t="str">
        <f>IF(AND((BX25=MAX(BX$11:BX$25)),(BX$32&lt;&gt;0)),"Tote","")</f>
        <v/>
      </c>
      <c r="BX25" s="78"/>
      <c r="BY25" s="83"/>
      <c r="BZ25" s="34" t="str">
        <f>IF(AND((CA25=MAX(CA$11:CA$25)),(CA$32&lt;&gt;0)),"Tote","")</f>
        <v/>
      </c>
      <c r="CA25" s="78"/>
      <c r="CB25" s="112"/>
      <c r="CC25" s="112"/>
      <c r="CD25" s="112"/>
      <c r="CE25" s="112"/>
      <c r="CF25" s="112"/>
      <c r="CG25" s="112"/>
      <c r="CH25" s="112"/>
    </row>
    <row r="26" spans="1:86" s="38" customFormat="1" ht="15.75" x14ac:dyDescent="0.25">
      <c r="A26" s="82"/>
      <c r="B26" s="220"/>
      <c r="C26" s="37" t="str">
        <f t="shared" si="0"/>
        <v/>
      </c>
      <c r="D26" s="223"/>
      <c r="E26" s="84"/>
      <c r="F26" s="37"/>
      <c r="G26" s="79"/>
      <c r="H26" s="84"/>
      <c r="I26" s="37"/>
      <c r="J26" s="79"/>
      <c r="K26" s="84"/>
      <c r="L26" s="37"/>
      <c r="M26" s="79"/>
      <c r="N26" s="84"/>
      <c r="O26" s="37"/>
      <c r="P26" s="79"/>
      <c r="Q26" s="84"/>
      <c r="R26" s="37"/>
      <c r="S26" s="79"/>
      <c r="T26" s="84"/>
      <c r="U26" s="37"/>
      <c r="V26" s="79"/>
      <c r="W26" s="84"/>
      <c r="X26" s="37"/>
      <c r="Y26" s="79"/>
      <c r="Z26" s="84"/>
      <c r="AA26" s="37"/>
      <c r="AB26" s="79"/>
      <c r="AC26" s="84"/>
      <c r="AD26" s="37"/>
      <c r="AE26" s="79"/>
      <c r="AF26" s="84"/>
      <c r="AG26" s="37"/>
      <c r="AH26" s="79"/>
      <c r="AI26" s="84"/>
      <c r="AJ26" s="37"/>
      <c r="AK26" s="79"/>
      <c r="AL26" s="84"/>
      <c r="AM26" s="37"/>
      <c r="AN26" s="79"/>
      <c r="AO26" s="84"/>
      <c r="AP26" s="37"/>
      <c r="AQ26" s="79"/>
      <c r="AR26" s="84"/>
      <c r="AS26" s="37"/>
      <c r="AT26" s="79"/>
      <c r="AU26" s="84"/>
      <c r="AV26" s="37"/>
      <c r="AW26" s="79"/>
      <c r="AX26" s="84"/>
      <c r="AY26" s="37"/>
      <c r="AZ26" s="79"/>
      <c r="BA26" s="84"/>
      <c r="BB26" s="37"/>
      <c r="BC26" s="79"/>
      <c r="BD26" s="84"/>
      <c r="BE26" s="37"/>
      <c r="BF26" s="79"/>
      <c r="BG26" s="84"/>
      <c r="BH26" s="37"/>
      <c r="BI26" s="79"/>
      <c r="BJ26" s="84"/>
      <c r="BK26" s="37"/>
      <c r="BL26" s="79"/>
      <c r="BM26" s="84"/>
      <c r="BN26" s="37"/>
      <c r="BO26" s="79"/>
      <c r="BP26" s="84"/>
      <c r="BQ26" s="37"/>
      <c r="BR26" s="79"/>
      <c r="BS26" s="84"/>
      <c r="BT26" s="37"/>
      <c r="BU26" s="79"/>
      <c r="BV26" s="84"/>
      <c r="BW26" s="37"/>
      <c r="BX26" s="79"/>
      <c r="BY26" s="84"/>
      <c r="BZ26" s="37"/>
      <c r="CA26" s="79"/>
      <c r="CB26" s="111"/>
      <c r="CC26" s="111"/>
      <c r="CD26" s="111"/>
      <c r="CE26" s="111"/>
      <c r="CF26" s="111"/>
      <c r="CG26" s="111"/>
      <c r="CH26" s="111"/>
    </row>
    <row r="27" spans="1:86" s="35" customFormat="1" ht="15.75" x14ac:dyDescent="0.25">
      <c r="A27" s="81"/>
      <c r="B27" s="221"/>
      <c r="C27" s="34" t="str">
        <f t="shared" si="0"/>
        <v/>
      </c>
      <c r="D27" s="224"/>
      <c r="E27" s="83"/>
      <c r="F27" s="34"/>
      <c r="G27" s="78"/>
      <c r="H27" s="83"/>
      <c r="I27" s="34"/>
      <c r="J27" s="78"/>
      <c r="K27" s="83"/>
      <c r="L27" s="34"/>
      <c r="M27" s="78"/>
      <c r="N27" s="83"/>
      <c r="O27" s="34"/>
      <c r="P27" s="78"/>
      <c r="Q27" s="83"/>
      <c r="R27" s="34"/>
      <c r="S27" s="78"/>
      <c r="T27" s="83"/>
      <c r="U27" s="34"/>
      <c r="V27" s="78"/>
      <c r="W27" s="83"/>
      <c r="X27" s="34"/>
      <c r="Y27" s="78"/>
      <c r="Z27" s="83"/>
      <c r="AA27" s="34"/>
      <c r="AB27" s="78"/>
      <c r="AC27" s="83"/>
      <c r="AD27" s="34"/>
      <c r="AE27" s="78"/>
      <c r="AF27" s="83"/>
      <c r="AG27" s="34"/>
      <c r="AH27" s="78"/>
      <c r="AI27" s="83"/>
      <c r="AJ27" s="34"/>
      <c r="AK27" s="78"/>
      <c r="AL27" s="83"/>
      <c r="AM27" s="34"/>
      <c r="AN27" s="78"/>
      <c r="AO27" s="83"/>
      <c r="AP27" s="34"/>
      <c r="AQ27" s="78"/>
      <c r="AR27" s="83"/>
      <c r="AS27" s="34"/>
      <c r="AT27" s="78"/>
      <c r="AU27" s="83"/>
      <c r="AV27" s="34"/>
      <c r="AW27" s="78"/>
      <c r="AX27" s="83"/>
      <c r="AY27" s="346"/>
      <c r="AZ27" s="78"/>
      <c r="BA27" s="83"/>
      <c r="BB27" s="34"/>
      <c r="BC27" s="78"/>
      <c r="BD27" s="83"/>
      <c r="BE27" s="34"/>
      <c r="BF27" s="78"/>
      <c r="BG27" s="83"/>
      <c r="BH27" s="34"/>
      <c r="BI27" s="78"/>
      <c r="BJ27" s="83"/>
      <c r="BK27" s="34"/>
      <c r="BL27" s="78"/>
      <c r="BM27" s="83"/>
      <c r="BN27" s="34"/>
      <c r="BO27" s="78"/>
      <c r="BP27" s="83"/>
      <c r="BQ27" s="34"/>
      <c r="BR27" s="78"/>
      <c r="BS27" s="83"/>
      <c r="BT27" s="34"/>
      <c r="BU27" s="78"/>
      <c r="BV27" s="83"/>
      <c r="BW27" s="34"/>
      <c r="BX27" s="78"/>
      <c r="BY27" s="83"/>
      <c r="BZ27" s="34"/>
      <c r="CA27" s="78"/>
      <c r="CB27" s="112"/>
      <c r="CC27" s="112"/>
      <c r="CD27" s="112"/>
      <c r="CE27" s="112"/>
      <c r="CF27" s="112"/>
      <c r="CG27" s="112"/>
      <c r="CH27" s="112"/>
    </row>
    <row r="28" spans="1:86" s="38" customFormat="1" ht="15.75" x14ac:dyDescent="0.25">
      <c r="A28" s="82"/>
      <c r="B28" s="220"/>
      <c r="C28" s="37" t="str">
        <f t="shared" si="0"/>
        <v/>
      </c>
      <c r="D28" s="223"/>
      <c r="E28" s="84"/>
      <c r="F28" s="37"/>
      <c r="G28" s="79"/>
      <c r="H28" s="84"/>
      <c r="I28" s="37"/>
      <c r="J28" s="79"/>
      <c r="K28" s="84"/>
      <c r="L28" s="37"/>
      <c r="M28" s="79"/>
      <c r="N28" s="84"/>
      <c r="O28" s="37"/>
      <c r="P28" s="79"/>
      <c r="Q28" s="84"/>
      <c r="R28" s="37"/>
      <c r="S28" s="79"/>
      <c r="T28" s="84"/>
      <c r="U28" s="37"/>
      <c r="V28" s="79"/>
      <c r="W28" s="84"/>
      <c r="X28" s="37"/>
      <c r="Y28" s="79"/>
      <c r="Z28" s="84"/>
      <c r="AA28" s="37"/>
      <c r="AB28" s="79"/>
      <c r="AC28" s="84"/>
      <c r="AD28" s="37"/>
      <c r="AE28" s="79"/>
      <c r="AF28" s="84"/>
      <c r="AG28" s="37"/>
      <c r="AH28" s="79"/>
      <c r="AI28" s="84"/>
      <c r="AJ28" s="37"/>
      <c r="AK28" s="79"/>
      <c r="AL28" s="84"/>
      <c r="AM28" s="37"/>
      <c r="AN28" s="79"/>
      <c r="AO28" s="84"/>
      <c r="AP28" s="37"/>
      <c r="AQ28" s="79"/>
      <c r="AR28" s="84"/>
      <c r="AS28" s="37"/>
      <c r="AT28" s="79"/>
      <c r="AU28" s="84"/>
      <c r="AV28" s="37"/>
      <c r="AW28" s="79"/>
      <c r="AX28" s="84"/>
      <c r="AY28" s="37"/>
      <c r="AZ28" s="79"/>
      <c r="BA28" s="84"/>
      <c r="BB28" s="37"/>
      <c r="BC28" s="79"/>
      <c r="BD28" s="84"/>
      <c r="BE28" s="37"/>
      <c r="BF28" s="79"/>
      <c r="BG28" s="84"/>
      <c r="BH28" s="37"/>
      <c r="BI28" s="79"/>
      <c r="BJ28" s="84"/>
      <c r="BK28" s="37"/>
      <c r="BL28" s="79"/>
      <c r="BM28" s="84"/>
      <c r="BN28" s="37"/>
      <c r="BO28" s="79"/>
      <c r="BP28" s="84"/>
      <c r="BQ28" s="37"/>
      <c r="BR28" s="79"/>
      <c r="BS28" s="84"/>
      <c r="BT28" s="37"/>
      <c r="BU28" s="79"/>
      <c r="BV28" s="84"/>
      <c r="BW28" s="37"/>
      <c r="BX28" s="79"/>
      <c r="BY28" s="84"/>
      <c r="BZ28" s="37"/>
      <c r="CA28" s="79"/>
      <c r="CB28" s="111"/>
      <c r="CC28" s="111"/>
      <c r="CD28" s="111"/>
      <c r="CE28" s="111"/>
      <c r="CF28" s="111"/>
      <c r="CG28" s="111"/>
      <c r="CH28" s="111"/>
    </row>
    <row r="29" spans="1:86" s="35" customFormat="1" ht="15.75" x14ac:dyDescent="0.25">
      <c r="A29" s="81"/>
      <c r="B29" s="221"/>
      <c r="C29" s="34" t="str">
        <f t="shared" si="0"/>
        <v/>
      </c>
      <c r="D29" s="224"/>
      <c r="E29" s="83"/>
      <c r="F29" s="34"/>
      <c r="G29" s="78"/>
      <c r="H29" s="83"/>
      <c r="I29" s="34"/>
      <c r="J29" s="78"/>
      <c r="K29" s="83"/>
      <c r="L29" s="34"/>
      <c r="M29" s="78"/>
      <c r="N29" s="83"/>
      <c r="O29" s="34"/>
      <c r="P29" s="78"/>
      <c r="Q29" s="83"/>
      <c r="R29" s="34"/>
      <c r="S29" s="78"/>
      <c r="T29" s="83"/>
      <c r="U29" s="34"/>
      <c r="V29" s="78"/>
      <c r="W29" s="83"/>
      <c r="X29" s="34"/>
      <c r="Y29" s="78"/>
      <c r="Z29" s="83"/>
      <c r="AA29" s="34"/>
      <c r="AB29" s="78"/>
      <c r="AC29" s="83"/>
      <c r="AD29" s="34"/>
      <c r="AE29" s="78"/>
      <c r="AF29" s="83"/>
      <c r="AG29" s="34"/>
      <c r="AH29" s="78"/>
      <c r="AI29" s="83"/>
      <c r="AJ29" s="34"/>
      <c r="AK29" s="78"/>
      <c r="AL29" s="83"/>
      <c r="AM29" s="34"/>
      <c r="AN29" s="78"/>
      <c r="AO29" s="83"/>
      <c r="AP29" s="34"/>
      <c r="AQ29" s="78"/>
      <c r="AR29" s="83"/>
      <c r="AS29" s="34"/>
      <c r="AT29" s="78"/>
      <c r="AU29" s="83"/>
      <c r="AV29" s="34"/>
      <c r="AW29" s="78"/>
      <c r="AX29" s="83"/>
      <c r="AY29" s="346"/>
      <c r="AZ29" s="78"/>
      <c r="BA29" s="83"/>
      <c r="BB29" s="34"/>
      <c r="BC29" s="78"/>
      <c r="BD29" s="83"/>
      <c r="BE29" s="34"/>
      <c r="BF29" s="78"/>
      <c r="BG29" s="83"/>
      <c r="BH29" s="34"/>
      <c r="BI29" s="78"/>
      <c r="BJ29" s="83"/>
      <c r="BK29" s="34"/>
      <c r="BL29" s="78"/>
      <c r="BM29" s="83"/>
      <c r="BN29" s="34"/>
      <c r="BO29" s="78"/>
      <c r="BP29" s="83"/>
      <c r="BQ29" s="34"/>
      <c r="BR29" s="78"/>
      <c r="BS29" s="83"/>
      <c r="BT29" s="34"/>
      <c r="BU29" s="78"/>
      <c r="BV29" s="83"/>
      <c r="BW29" s="34"/>
      <c r="BX29" s="78"/>
      <c r="BY29" s="83"/>
      <c r="BZ29" s="34"/>
      <c r="CA29" s="78"/>
      <c r="CB29" s="112"/>
      <c r="CC29" s="112"/>
      <c r="CD29" s="112"/>
      <c r="CE29" s="112"/>
      <c r="CF29" s="112"/>
      <c r="CG29" s="112"/>
      <c r="CH29" s="112"/>
    </row>
    <row r="30" spans="1:86" s="38" customFormat="1" ht="15.75" x14ac:dyDescent="0.25">
      <c r="A30" s="75" t="s">
        <v>27</v>
      </c>
      <c r="B30" s="220"/>
      <c r="C30" s="37" t="str">
        <f t="shared" si="0"/>
        <v/>
      </c>
      <c r="D30" s="223"/>
      <c r="E30" s="84"/>
      <c r="F30" s="37"/>
      <c r="G30" s="79"/>
      <c r="H30" s="84"/>
      <c r="I30" s="37"/>
      <c r="J30" s="79"/>
      <c r="K30" s="84"/>
      <c r="L30" s="37"/>
      <c r="M30" s="79"/>
      <c r="N30" s="84"/>
      <c r="O30" s="37"/>
      <c r="P30" s="79"/>
      <c r="Q30" s="84">
        <v>7</v>
      </c>
      <c r="R30" s="37"/>
      <c r="S30" s="79">
        <v>43</v>
      </c>
      <c r="T30" s="84"/>
      <c r="U30" s="37"/>
      <c r="V30" s="79"/>
      <c r="W30" s="84">
        <v>8</v>
      </c>
      <c r="X30" s="37"/>
      <c r="Y30" s="79">
        <v>37</v>
      </c>
      <c r="Z30" s="84"/>
      <c r="AA30" s="37"/>
      <c r="AB30" s="79"/>
      <c r="AC30" s="84"/>
      <c r="AD30" s="37"/>
      <c r="AE30" s="79"/>
      <c r="AF30" s="84"/>
      <c r="AG30" s="37"/>
      <c r="AH30" s="79"/>
      <c r="AI30" s="84"/>
      <c r="AJ30" s="37"/>
      <c r="AK30" s="79"/>
      <c r="AL30" s="84"/>
      <c r="AM30" s="37"/>
      <c r="AN30" s="79"/>
      <c r="AO30" s="84"/>
      <c r="AP30" s="37"/>
      <c r="AQ30" s="79"/>
      <c r="AR30" s="84"/>
      <c r="AS30" s="37"/>
      <c r="AT30" s="79"/>
      <c r="AU30" s="84"/>
      <c r="AV30" s="37"/>
      <c r="AW30" s="79"/>
      <c r="AX30" s="84"/>
      <c r="AY30" s="37"/>
      <c r="AZ30" s="79"/>
      <c r="BA30" s="84">
        <v>8</v>
      </c>
      <c r="BB30" s="37"/>
      <c r="BC30" s="79">
        <v>47</v>
      </c>
      <c r="BD30" s="84"/>
      <c r="BE30" s="37"/>
      <c r="BF30" s="79"/>
      <c r="BG30" s="84"/>
      <c r="BH30" s="37"/>
      <c r="BI30" s="79"/>
      <c r="BJ30" s="84"/>
      <c r="BK30" s="37"/>
      <c r="BL30" s="79"/>
      <c r="BM30" s="84"/>
      <c r="BN30" s="37"/>
      <c r="BO30" s="79"/>
      <c r="BP30" s="84"/>
      <c r="BQ30" s="37"/>
      <c r="BR30" s="79"/>
      <c r="BS30" s="84"/>
      <c r="BT30" s="37"/>
      <c r="BU30" s="79"/>
      <c r="BV30" s="84"/>
      <c r="BW30" s="37"/>
      <c r="BX30" s="79"/>
      <c r="BY30" s="84"/>
      <c r="BZ30" s="37"/>
      <c r="CA30" s="79"/>
      <c r="CB30" s="111"/>
      <c r="CC30" s="111"/>
      <c r="CD30" s="111"/>
      <c r="CE30" s="111"/>
      <c r="CF30" s="111"/>
      <c r="CG30" s="111"/>
      <c r="CH30" s="111"/>
    </row>
    <row r="31" spans="1:86" s="35" customFormat="1" ht="15.75" x14ac:dyDescent="0.25">
      <c r="A31" s="76" t="s">
        <v>28</v>
      </c>
      <c r="B31" s="77"/>
      <c r="C31" s="34" t="str">
        <f t="shared" si="0"/>
        <v/>
      </c>
      <c r="D31" s="80"/>
      <c r="E31" s="77"/>
      <c r="F31" s="36"/>
      <c r="G31" s="80"/>
      <c r="H31" s="77"/>
      <c r="I31" s="36"/>
      <c r="J31" s="80"/>
      <c r="K31" s="77"/>
      <c r="L31" s="36"/>
      <c r="M31" s="80"/>
      <c r="N31" s="77"/>
      <c r="O31" s="36"/>
      <c r="P31" s="80"/>
      <c r="Q31" s="77">
        <v>8</v>
      </c>
      <c r="R31" s="36"/>
      <c r="S31" s="80">
        <v>40</v>
      </c>
      <c r="T31" s="77"/>
      <c r="U31" s="36"/>
      <c r="V31" s="80"/>
      <c r="W31" s="77">
        <v>9</v>
      </c>
      <c r="X31" s="36"/>
      <c r="Y31" s="80">
        <v>46</v>
      </c>
      <c r="Z31" s="77"/>
      <c r="AA31" s="36"/>
      <c r="AB31" s="80"/>
      <c r="AC31" s="77"/>
      <c r="AD31" s="36"/>
      <c r="AE31" s="80"/>
      <c r="AF31" s="77"/>
      <c r="AG31" s="36"/>
      <c r="AH31" s="80"/>
      <c r="AI31" s="77"/>
      <c r="AJ31" s="36"/>
      <c r="AK31" s="80"/>
      <c r="AL31" s="77"/>
      <c r="AM31" s="36"/>
      <c r="AN31" s="80"/>
      <c r="AO31" s="77"/>
      <c r="AP31" s="36"/>
      <c r="AQ31" s="80"/>
      <c r="AR31" s="77"/>
      <c r="AS31" s="36"/>
      <c r="AT31" s="80"/>
      <c r="AU31" s="77"/>
      <c r="AV31" s="36"/>
      <c r="AW31" s="80"/>
      <c r="AX31" s="77"/>
      <c r="AY31" s="36"/>
      <c r="AZ31" s="80"/>
      <c r="BA31" s="77"/>
      <c r="BB31" s="36"/>
      <c r="BC31" s="80"/>
      <c r="BD31" s="77"/>
      <c r="BE31" s="36"/>
      <c r="BF31" s="80"/>
      <c r="BG31" s="77"/>
      <c r="BH31" s="36"/>
      <c r="BI31" s="80"/>
      <c r="BJ31" s="77"/>
      <c r="BK31" s="36"/>
      <c r="BL31" s="80"/>
      <c r="BM31" s="77"/>
      <c r="BN31" s="36"/>
      <c r="BO31" s="80"/>
      <c r="BP31" s="77"/>
      <c r="BQ31" s="36"/>
      <c r="BR31" s="80"/>
      <c r="BS31" s="77"/>
      <c r="BT31" s="36"/>
      <c r="BU31" s="80"/>
      <c r="BV31" s="77"/>
      <c r="BW31" s="36"/>
      <c r="BX31" s="80"/>
      <c r="BY31" s="77"/>
      <c r="BZ31" s="36"/>
      <c r="CA31" s="80"/>
    </row>
    <row r="32" spans="1:86" s="44" customFormat="1" ht="16.5" thickBot="1" x14ac:dyDescent="0.3">
      <c r="A32" s="40" t="s">
        <v>4</v>
      </c>
      <c r="B32" s="86">
        <f>COUNT(B11:B31)</f>
        <v>9</v>
      </c>
      <c r="C32" s="335">
        <f>+D32/B32</f>
        <v>51.666666666666664</v>
      </c>
      <c r="D32" s="40">
        <f>SUM(D11:D31)</f>
        <v>465</v>
      </c>
      <c r="E32" s="86">
        <f>COUNT(E11:E31)</f>
        <v>7</v>
      </c>
      <c r="F32" s="335">
        <f>+G32/E32</f>
        <v>46.714285714285715</v>
      </c>
      <c r="G32" s="40">
        <f>SUM(G11:G31)</f>
        <v>327</v>
      </c>
      <c r="H32" s="86">
        <f>COUNT(H11:H31)</f>
        <v>9</v>
      </c>
      <c r="I32" s="335">
        <f>+J32/H32</f>
        <v>46.444444444444443</v>
      </c>
      <c r="J32" s="40">
        <f>SUM(J11:J31)</f>
        <v>418</v>
      </c>
      <c r="K32" s="86">
        <f>COUNT(K11:K31)</f>
        <v>0</v>
      </c>
      <c r="L32" s="335"/>
      <c r="M32" s="40">
        <f>SUM(M11:M31)</f>
        <v>0</v>
      </c>
      <c r="N32" s="86">
        <f>COUNT(N11:N31)</f>
        <v>9</v>
      </c>
      <c r="O32" s="335">
        <f>+P32/N32</f>
        <v>47.111111111111114</v>
      </c>
      <c r="P32" s="40">
        <f>SUM(P11:P31)</f>
        <v>424</v>
      </c>
      <c r="Q32" s="86">
        <f>COUNT(Q11:Q31)</f>
        <v>8</v>
      </c>
      <c r="R32" s="335">
        <f>+S32/Q32</f>
        <v>44.750124999999997</v>
      </c>
      <c r="S32" s="40">
        <f>SUM(S11:S31)</f>
        <v>358.00099999999998</v>
      </c>
      <c r="T32" s="86">
        <f>COUNT(T11:T31)</f>
        <v>0</v>
      </c>
      <c r="U32" s="335" t="e">
        <f>+V32/T32</f>
        <v>#DIV/0!</v>
      </c>
      <c r="V32" s="40">
        <f>SUM(V11:V31)</f>
        <v>0</v>
      </c>
      <c r="W32" s="86">
        <f>COUNT(W11:W31)</f>
        <v>9</v>
      </c>
      <c r="X32" s="335">
        <f>+Y32/W32</f>
        <v>41.777777777777779</v>
      </c>
      <c r="Y32" s="40">
        <f>SUM(Y11:Y31)</f>
        <v>376</v>
      </c>
      <c r="Z32" s="86">
        <f>COUNT(Z11:Z31)</f>
        <v>9</v>
      </c>
      <c r="AA32" s="335">
        <f>+AB32/Z32</f>
        <v>43.111111111111114</v>
      </c>
      <c r="AB32" s="40">
        <f>SUM(AB11:AB31)</f>
        <v>388</v>
      </c>
      <c r="AC32" s="86">
        <f>COUNT(AC11:AC31)</f>
        <v>0</v>
      </c>
      <c r="AD32" s="41"/>
      <c r="AE32" s="40">
        <f>SUM(AE11:AE31)</f>
        <v>0</v>
      </c>
      <c r="AF32" s="86">
        <f>COUNT(AF11:AF31)</f>
        <v>0</v>
      </c>
      <c r="AG32" s="335" t="e">
        <f>+AH32/AF32</f>
        <v>#DIV/0!</v>
      </c>
      <c r="AH32" s="40">
        <f>SUM(AH11:AH31)</f>
        <v>0</v>
      </c>
      <c r="AI32" s="86">
        <f>COUNT(AI11:AI31)</f>
        <v>9</v>
      </c>
      <c r="AJ32" s="335">
        <f>+AK32/AI32</f>
        <v>47.555566666666664</v>
      </c>
      <c r="AK32" s="40">
        <f>SUM(AK11:AK31)</f>
        <v>428.00009999999997</v>
      </c>
      <c r="AL32" s="86">
        <f>COUNT(AL11:AL31)</f>
        <v>8</v>
      </c>
      <c r="AM32" s="335">
        <f>+AN32/AL32</f>
        <v>53.125</v>
      </c>
      <c r="AN32" s="40">
        <f>SUM(AN11:AN31)</f>
        <v>425</v>
      </c>
      <c r="AO32" s="86">
        <f>COUNT(AO11:AO31)</f>
        <v>9</v>
      </c>
      <c r="AP32" s="335">
        <f>+AQ32/AO32</f>
        <v>44.666666666666664</v>
      </c>
      <c r="AQ32" s="40">
        <f>SUM(AQ11:AQ31)</f>
        <v>402</v>
      </c>
      <c r="AR32" s="86">
        <f>COUNT(AR11:AR31)</f>
        <v>9</v>
      </c>
      <c r="AS32" s="335">
        <f>+AT32/AR32</f>
        <v>47</v>
      </c>
      <c r="AT32" s="40">
        <f>SUM(AT11:AT31)</f>
        <v>423</v>
      </c>
      <c r="AU32" s="86">
        <f>COUNT(AU11:AU31)</f>
        <v>8</v>
      </c>
      <c r="AV32" s="335">
        <f>+AW32/AU32</f>
        <v>45</v>
      </c>
      <c r="AW32" s="40">
        <f>SUM(AW11:AW31)</f>
        <v>360</v>
      </c>
      <c r="AX32" s="86">
        <f>COUNT(AX11:AX31)</f>
        <v>0</v>
      </c>
      <c r="AY32" s="41"/>
      <c r="AZ32" s="40">
        <f>SUM(AZ11:AZ31)</f>
        <v>0</v>
      </c>
      <c r="BA32" s="86">
        <f>COUNT(BA11:BA31)</f>
        <v>8</v>
      </c>
      <c r="BB32" s="335">
        <f>+BC32/BA32</f>
        <v>45.75</v>
      </c>
      <c r="BC32" s="40">
        <f>SUM(BC11:BC31)</f>
        <v>366</v>
      </c>
      <c r="BD32" s="86">
        <f>COUNT(BD11:BD31)</f>
        <v>9</v>
      </c>
      <c r="BE32" s="335">
        <f>+BF32/BD32</f>
        <v>47.333333333333336</v>
      </c>
      <c r="BF32" s="40">
        <f>SUM(BF11:BF31)</f>
        <v>426</v>
      </c>
      <c r="BG32" s="86">
        <f>COUNT(BG11:BG31)</f>
        <v>8</v>
      </c>
      <c r="BH32" s="335">
        <f>+BI32/BG32</f>
        <v>47.5</v>
      </c>
      <c r="BI32" s="40">
        <f>SUM(BI11:BI31)</f>
        <v>380</v>
      </c>
      <c r="BJ32" s="86">
        <f>COUNT(BJ11:BJ31)</f>
        <v>0</v>
      </c>
      <c r="BK32" s="41"/>
      <c r="BL32" s="40">
        <f>SUM(BL11:BL31)</f>
        <v>0</v>
      </c>
      <c r="BM32" s="86">
        <f>COUNT(BM11:BM31)</f>
        <v>0</v>
      </c>
      <c r="BN32" s="41"/>
      <c r="BO32" s="40">
        <f>SUM(BO11:BO31)</f>
        <v>0</v>
      </c>
      <c r="BP32" s="86">
        <f>COUNT(BP11:BP31)</f>
        <v>0</v>
      </c>
      <c r="BQ32" s="41"/>
      <c r="BR32" s="40">
        <f>SUM(BR11:BR31)</f>
        <v>0</v>
      </c>
      <c r="BS32" s="86">
        <f>COUNT(BS11:BS31)</f>
        <v>0</v>
      </c>
      <c r="BT32" s="41"/>
      <c r="BU32" s="40">
        <f>SUM(BU11:BU31)</f>
        <v>0</v>
      </c>
      <c r="BV32" s="86">
        <f>COUNT(BV11:BV31)</f>
        <v>0</v>
      </c>
      <c r="BW32" s="41"/>
      <c r="BX32" s="40">
        <f>SUM(BX11:BX31)</f>
        <v>0</v>
      </c>
      <c r="BY32" s="86">
        <f>COUNT(BY11:BY31)</f>
        <v>0</v>
      </c>
      <c r="BZ32" s="41"/>
      <c r="CA32" s="40">
        <f>SUM(CA11:CA31)</f>
        <v>0</v>
      </c>
    </row>
    <row r="33" spans="1:82" ht="16.5" thickTop="1" x14ac:dyDescent="0.25">
      <c r="A33" s="4" t="s">
        <v>47</v>
      </c>
      <c r="B33" s="336"/>
      <c r="C33" s="8"/>
      <c r="D33" s="4">
        <f>ROUND(AVERAGE(D11:D31),1)</f>
        <v>51.7</v>
      </c>
      <c r="E33" s="8"/>
      <c r="F33" s="8"/>
      <c r="G33" s="339">
        <f>ROUND(AVERAGE(G11:G31),1)</f>
        <v>46.7</v>
      </c>
      <c r="H33" s="8"/>
      <c r="I33" s="8"/>
      <c r="J33" s="339">
        <f>ROUND(AVERAGE(J11:J31),1)</f>
        <v>46.4</v>
      </c>
      <c r="K33" s="8"/>
      <c r="L33" s="8"/>
      <c r="M33" s="339"/>
      <c r="N33" s="8"/>
      <c r="O33" s="8"/>
      <c r="P33" s="4">
        <f>ROUND(AVERAGE(P11:P31),1)</f>
        <v>47.1</v>
      </c>
      <c r="Q33" s="8"/>
      <c r="R33" s="8"/>
      <c r="S33" s="339"/>
      <c r="T33" s="8"/>
      <c r="U33" s="8"/>
      <c r="V33" s="4" t="e">
        <f>ROUND(AVERAGE(V11:V31),1)</f>
        <v>#DIV/0!</v>
      </c>
      <c r="W33" s="8"/>
      <c r="X33" s="8"/>
      <c r="Y33" s="339">
        <f>ROUND(AVERAGE(Y11:Y31),1)</f>
        <v>41.8</v>
      </c>
      <c r="Z33" s="8"/>
      <c r="AA33" s="8"/>
      <c r="AB33" s="339">
        <f>ROUND(AVERAGE(AB11:AB31),1)</f>
        <v>43.1</v>
      </c>
      <c r="AC33" s="8"/>
      <c r="AD33" s="8"/>
      <c r="AE33" s="339" t="e">
        <f>ROUND(AVERAGE(AE11:AE31),1)</f>
        <v>#DIV/0!</v>
      </c>
      <c r="AF33" s="8"/>
      <c r="AG33" s="8"/>
      <c r="AH33" s="4" t="e">
        <f>ROUND(AVERAGE(AH11:AH31),1)</f>
        <v>#DIV/0!</v>
      </c>
      <c r="AI33" s="8"/>
      <c r="AJ33" s="8"/>
      <c r="AK33" s="339">
        <f>ROUND(AVERAGE(AK11:AK31),1)</f>
        <v>47.6</v>
      </c>
      <c r="AL33" s="8"/>
      <c r="AM33" s="8"/>
      <c r="AN33" s="4">
        <f>ROUND(AVERAGE(AN11:AN31),1)</f>
        <v>53.1</v>
      </c>
      <c r="AO33" s="8"/>
      <c r="AP33" s="8"/>
      <c r="AQ33" s="4">
        <f>ROUND(AVERAGE(AQ11:AQ31),1)</f>
        <v>44.7</v>
      </c>
      <c r="AR33" s="8"/>
      <c r="AS33" s="8"/>
      <c r="AT33" s="339">
        <f>ROUND(AVERAGE(AT11:AT31),1)</f>
        <v>47</v>
      </c>
      <c r="AU33" s="8"/>
      <c r="AV33" s="8"/>
      <c r="AW33" s="339">
        <f>ROUND(AVERAGE(AW11:AW31),1)</f>
        <v>45</v>
      </c>
      <c r="AX33" s="8"/>
      <c r="AY33" s="8"/>
      <c r="AZ33" s="339" t="e">
        <f>ROUND(AVERAGE(AZ11:AZ31),1)</f>
        <v>#DIV/0!</v>
      </c>
      <c r="BA33" s="8"/>
      <c r="BB33" s="8"/>
      <c r="BC33" s="339">
        <f>ROUND(AVERAGE(BC11:BC31),1)</f>
        <v>45.8</v>
      </c>
      <c r="BD33" s="8"/>
      <c r="BE33" s="8"/>
      <c r="BF33" s="339">
        <f>ROUND(AVERAGE(BF11:BF31),1)</f>
        <v>47.3</v>
      </c>
      <c r="BG33" s="8"/>
      <c r="BH33" s="8"/>
      <c r="BI33" s="339">
        <f>ROUND(AVERAGE(BI11:BI31),1)</f>
        <v>47.5</v>
      </c>
      <c r="BJ33" s="8"/>
      <c r="BK33" s="8"/>
      <c r="BL33" s="339" t="e">
        <f>ROUND(AVERAGE(BL11:BL31),1)</f>
        <v>#DIV/0!</v>
      </c>
      <c r="BM33" s="8"/>
      <c r="BN33" s="8"/>
      <c r="BO33" s="339" t="e">
        <f>ROUND(AVERAGE(BO11:BO31),1)</f>
        <v>#DIV/0!</v>
      </c>
      <c r="BP33" s="8"/>
      <c r="BQ33" s="8"/>
      <c r="BR33" s="339" t="e">
        <f>ROUND(AVERAGE(BR11:BR31),1)</f>
        <v>#DIV/0!</v>
      </c>
      <c r="BS33" s="8"/>
      <c r="BT33" s="8"/>
      <c r="BU33" s="339" t="e">
        <f>ROUND(AVERAGE(BU11:BU31),1)</f>
        <v>#DIV/0!</v>
      </c>
      <c r="BV33" s="8"/>
      <c r="BW33" s="8"/>
      <c r="BX33" s="339" t="e">
        <f>ROUND(AVERAGE(BX11:BX31),1)</f>
        <v>#DIV/0!</v>
      </c>
      <c r="BY33" s="8"/>
      <c r="BZ33" s="8"/>
      <c r="CA33" s="4"/>
    </row>
    <row r="34" spans="1:82" s="131" customFormat="1" ht="15.75" x14ac:dyDescent="0.25">
      <c r="A34" s="239" t="s">
        <v>8</v>
      </c>
      <c r="B34" s="364" t="s">
        <v>54</v>
      </c>
      <c r="C34" s="365"/>
      <c r="D34" s="376"/>
      <c r="E34" s="364" t="s">
        <v>56</v>
      </c>
      <c r="F34" s="365"/>
      <c r="G34" s="366"/>
      <c r="H34" s="364" t="s">
        <v>93</v>
      </c>
      <c r="I34" s="365"/>
      <c r="J34" s="366"/>
      <c r="K34" s="364" t="s">
        <v>57</v>
      </c>
      <c r="L34" s="365"/>
      <c r="M34" s="366"/>
      <c r="N34" s="364" t="s">
        <v>101</v>
      </c>
      <c r="O34" s="365"/>
      <c r="P34" s="366"/>
      <c r="Q34" s="364" t="s">
        <v>58</v>
      </c>
      <c r="R34" s="365"/>
      <c r="S34" s="366"/>
      <c r="T34" s="364"/>
      <c r="U34" s="365"/>
      <c r="V34" s="366"/>
      <c r="W34" s="364" t="s">
        <v>59</v>
      </c>
      <c r="X34" s="365"/>
      <c r="Y34" s="366"/>
      <c r="Z34" s="364" t="s">
        <v>60</v>
      </c>
      <c r="AA34" s="365"/>
      <c r="AB34" s="366"/>
      <c r="AC34" s="364"/>
      <c r="AD34" s="365"/>
      <c r="AE34" s="366"/>
      <c r="AF34" s="364"/>
      <c r="AG34" s="365"/>
      <c r="AH34" s="366"/>
      <c r="AI34" s="364" t="s">
        <v>57</v>
      </c>
      <c r="AJ34" s="365"/>
      <c r="AK34" s="366"/>
      <c r="AL34" s="364" t="s">
        <v>61</v>
      </c>
      <c r="AM34" s="365"/>
      <c r="AN34" s="366"/>
      <c r="AO34" s="364" t="s">
        <v>62</v>
      </c>
      <c r="AP34" s="365"/>
      <c r="AQ34" s="366"/>
      <c r="AR34" s="364" t="s">
        <v>63</v>
      </c>
      <c r="AS34" s="365"/>
      <c r="AT34" s="366"/>
      <c r="AU34" s="364" t="s">
        <v>64</v>
      </c>
      <c r="AV34" s="365"/>
      <c r="AW34" s="366"/>
      <c r="AX34" s="397"/>
      <c r="AY34" s="398"/>
      <c r="AZ34" s="399"/>
      <c r="BA34" s="364" t="s">
        <v>107</v>
      </c>
      <c r="BB34" s="365"/>
      <c r="BC34" s="366"/>
      <c r="BD34" s="364" t="s">
        <v>66</v>
      </c>
      <c r="BE34" s="365"/>
      <c r="BF34" s="366"/>
      <c r="BG34" s="364" t="s">
        <v>67</v>
      </c>
      <c r="BH34" s="365"/>
      <c r="BI34" s="366"/>
      <c r="BJ34" s="364" t="s">
        <v>68</v>
      </c>
      <c r="BK34" s="365"/>
      <c r="BL34" s="366"/>
      <c r="BM34" s="364" t="s">
        <v>69</v>
      </c>
      <c r="BN34" s="365"/>
      <c r="BO34" s="366"/>
      <c r="BP34" s="364" t="s">
        <v>70</v>
      </c>
      <c r="BQ34" s="365"/>
      <c r="BR34" s="366"/>
      <c r="BS34" s="364" t="s">
        <v>71</v>
      </c>
      <c r="BT34" s="365"/>
      <c r="BU34" s="366"/>
      <c r="BV34" s="364" t="s">
        <v>72</v>
      </c>
      <c r="BW34" s="365"/>
      <c r="BX34" s="366"/>
      <c r="BY34" s="364"/>
      <c r="BZ34" s="365"/>
      <c r="CA34" s="366"/>
    </row>
    <row r="35" spans="1:82" ht="31.5" customHeight="1" x14ac:dyDescent="0.25">
      <c r="A35" s="5"/>
      <c r="B35" s="390" t="s">
        <v>55</v>
      </c>
      <c r="C35" s="391"/>
      <c r="D35" s="392"/>
      <c r="E35" s="380" t="s">
        <v>73</v>
      </c>
      <c r="F35" s="381"/>
      <c r="G35" s="386"/>
      <c r="H35" s="380" t="s">
        <v>90</v>
      </c>
      <c r="I35" s="381"/>
      <c r="J35" s="386"/>
      <c r="K35" s="380" t="s">
        <v>98</v>
      </c>
      <c r="L35" s="381"/>
      <c r="M35" s="386"/>
      <c r="N35" s="380"/>
      <c r="O35" s="381"/>
      <c r="P35" s="386"/>
      <c r="Q35" s="380" t="s">
        <v>76</v>
      </c>
      <c r="R35" s="381"/>
      <c r="S35" s="386"/>
      <c r="T35" s="380"/>
      <c r="U35" s="381"/>
      <c r="V35" s="386"/>
      <c r="W35" s="380" t="s">
        <v>77</v>
      </c>
      <c r="X35" s="381"/>
      <c r="Y35" s="386"/>
      <c r="Z35" s="380" t="s">
        <v>78</v>
      </c>
      <c r="AA35" s="381"/>
      <c r="AB35" s="386"/>
      <c r="AC35" s="380"/>
      <c r="AD35" s="381"/>
      <c r="AE35" s="386"/>
      <c r="AF35" s="380"/>
      <c r="AG35" s="381"/>
      <c r="AH35" s="386"/>
      <c r="AI35" s="380" t="s">
        <v>98</v>
      </c>
      <c r="AJ35" s="381"/>
      <c r="AK35" s="386"/>
      <c r="AL35" s="380" t="s">
        <v>79</v>
      </c>
      <c r="AM35" s="381"/>
      <c r="AN35" s="386"/>
      <c r="AO35" s="380" t="s">
        <v>76</v>
      </c>
      <c r="AP35" s="381"/>
      <c r="AQ35" s="386"/>
      <c r="AR35" s="393" t="s">
        <v>74</v>
      </c>
      <c r="AS35" s="394"/>
      <c r="AT35" s="395"/>
      <c r="AU35" s="393" t="s">
        <v>80</v>
      </c>
      <c r="AV35" s="394"/>
      <c r="AW35" s="395"/>
      <c r="AX35" s="393"/>
      <c r="AY35" s="394"/>
      <c r="AZ35" s="395"/>
      <c r="BA35" s="393" t="s">
        <v>108</v>
      </c>
      <c r="BB35" s="394"/>
      <c r="BC35" s="395"/>
      <c r="BD35" s="393" t="s">
        <v>82</v>
      </c>
      <c r="BE35" s="394"/>
      <c r="BF35" s="395"/>
      <c r="BG35" s="393" t="s">
        <v>84</v>
      </c>
      <c r="BH35" s="394"/>
      <c r="BI35" s="395"/>
      <c r="BJ35" s="393" t="s">
        <v>85</v>
      </c>
      <c r="BK35" s="394"/>
      <c r="BL35" s="395"/>
      <c r="BM35" s="393" t="s">
        <v>86</v>
      </c>
      <c r="BN35" s="394"/>
      <c r="BO35" s="395"/>
      <c r="BP35" s="393" t="s">
        <v>87</v>
      </c>
      <c r="BQ35" s="394"/>
      <c r="BR35" s="395"/>
      <c r="BS35" s="393" t="s">
        <v>88</v>
      </c>
      <c r="BT35" s="394"/>
      <c r="BU35" s="395"/>
      <c r="BV35" s="393" t="s">
        <v>89</v>
      </c>
      <c r="BW35" s="394"/>
      <c r="BX35" s="395"/>
      <c r="BY35" s="380"/>
      <c r="BZ35" s="381"/>
      <c r="CA35" s="386"/>
    </row>
    <row r="36" spans="1:82" s="44" customFormat="1" ht="16.5" thickBot="1" x14ac:dyDescent="0.3">
      <c r="A36" s="85" t="s">
        <v>5</v>
      </c>
      <c r="B36" s="225"/>
      <c r="C36" s="226"/>
      <c r="D36" s="227">
        <f>71+68+53+52+50+49+47+43+55</f>
        <v>488</v>
      </c>
      <c r="E36" s="86"/>
      <c r="F36" s="43"/>
      <c r="G36" s="87">
        <f>37+49+48+39+43+41+63</f>
        <v>320</v>
      </c>
      <c r="H36" s="86"/>
      <c r="I36" s="43"/>
      <c r="J36" s="87">
        <f>42+43+45+41+42+39+54+44+41</f>
        <v>391</v>
      </c>
      <c r="K36" s="86"/>
      <c r="L36" s="43"/>
      <c r="M36" s="87"/>
      <c r="N36" s="86"/>
      <c r="O36" s="43"/>
      <c r="P36" s="87">
        <f>41+42+49+43+54+47+63+61+43</f>
        <v>443</v>
      </c>
      <c r="Q36" s="86"/>
      <c r="R36" s="43"/>
      <c r="S36" s="87">
        <f>32+34+40+35+54+37+48+43</f>
        <v>323</v>
      </c>
      <c r="T36" s="86"/>
      <c r="U36" s="43"/>
      <c r="V36" s="87"/>
      <c r="W36" s="86"/>
      <c r="X36" s="43"/>
      <c r="Y36" s="87">
        <f>41+44+34+45+38+41+37+33+43</f>
        <v>356</v>
      </c>
      <c r="Z36" s="86"/>
      <c r="AA36" s="43"/>
      <c r="AB36" s="87">
        <f>36+33+44+45+35+60+44+45+45</f>
        <v>387</v>
      </c>
      <c r="AC36" s="86"/>
      <c r="AD36" s="43"/>
      <c r="AE36" s="87"/>
      <c r="AF36" s="86"/>
      <c r="AG36" s="43"/>
      <c r="AH36" s="87"/>
      <c r="AI36" s="86"/>
      <c r="AJ36" s="43"/>
      <c r="AK36" s="87">
        <f>46+29+45+37+41+54+39+54+42</f>
        <v>387</v>
      </c>
      <c r="AL36" s="86"/>
      <c r="AM36" s="43"/>
      <c r="AN36" s="87">
        <f>53+54+44+39+71+60+47+58</f>
        <v>426</v>
      </c>
      <c r="AO36" s="86"/>
      <c r="AP36" s="43"/>
      <c r="AQ36" s="87">
        <f>44+43+54+38+41+45+44+40+36</f>
        <v>385</v>
      </c>
      <c r="AR36" s="86"/>
      <c r="AS36" s="43"/>
      <c r="AT36" s="87">
        <f>45+31+40+42+35+40+40+41+41</f>
        <v>355</v>
      </c>
      <c r="AU36" s="86"/>
      <c r="AV36" s="43"/>
      <c r="AW36" s="87">
        <f>46+36+48+47+40+46+54+38</f>
        <v>355</v>
      </c>
      <c r="AX36" s="86"/>
      <c r="AY36" s="43"/>
      <c r="AZ36" s="87"/>
      <c r="BA36" s="86"/>
      <c r="BB36" s="43"/>
      <c r="BC36" s="87">
        <f>40+49+39+48+42+34+41+47</f>
        <v>340</v>
      </c>
      <c r="BD36" s="86"/>
      <c r="BE36" s="43"/>
      <c r="BF36" s="87">
        <f>50+40+43+40+41+55+46+43+53</f>
        <v>411</v>
      </c>
      <c r="BG36" s="86"/>
      <c r="BH36" s="43">
        <f>+BI36/8</f>
        <v>45.75</v>
      </c>
      <c r="BI36" s="87">
        <f>52+42+41+41+42+47+46+55</f>
        <v>366</v>
      </c>
      <c r="BJ36" s="86"/>
      <c r="BK36" s="43"/>
      <c r="BL36" s="87"/>
      <c r="BM36" s="86"/>
      <c r="BN36" s="43"/>
      <c r="BO36" s="87"/>
      <c r="BP36" s="86"/>
      <c r="BQ36" s="43"/>
      <c r="BR36" s="87"/>
      <c r="BS36" s="86"/>
      <c r="BT36" s="43"/>
      <c r="BU36" s="87"/>
      <c r="BV36" s="86"/>
      <c r="BW36" s="43"/>
      <c r="BX36" s="87"/>
      <c r="BY36" s="86"/>
      <c r="BZ36" s="43"/>
      <c r="CA36" s="87"/>
    </row>
    <row r="37" spans="1:82" ht="16.5" thickTop="1" x14ac:dyDescent="0.25">
      <c r="A37" s="4" t="s">
        <v>46</v>
      </c>
      <c r="B37" s="228"/>
      <c r="C37" s="229"/>
      <c r="D37" s="230">
        <f>IF(D36,+D32-D36,"")</f>
        <v>-23</v>
      </c>
      <c r="E37" s="229"/>
      <c r="F37" s="229"/>
      <c r="G37" s="230">
        <f>IF(G36,+G32-G36,"")</f>
        <v>7</v>
      </c>
      <c r="H37" s="11"/>
      <c r="I37" s="13"/>
      <c r="J37" s="230">
        <f>IF(J36,+J32-J36,"")</f>
        <v>27</v>
      </c>
      <c r="K37" s="11"/>
      <c r="L37" s="13"/>
      <c r="M37" s="230" t="str">
        <f>IF(M36,+M32-M36,"")</f>
        <v/>
      </c>
      <c r="N37" s="11"/>
      <c r="O37" s="13"/>
      <c r="P37" s="230">
        <f>IF(P36,+P32-P36,"")</f>
        <v>-19</v>
      </c>
      <c r="Q37" s="11"/>
      <c r="R37" s="13"/>
      <c r="S37" s="350">
        <f>IF(S36,+S32-S36,"")</f>
        <v>35.000999999999976</v>
      </c>
      <c r="T37" s="11"/>
      <c r="U37" s="13"/>
      <c r="V37" s="230" t="str">
        <f>IF(V36,+V32-V36,"")</f>
        <v/>
      </c>
      <c r="W37" s="11"/>
      <c r="X37" s="13"/>
      <c r="Y37" s="230">
        <f>IF(Y36,+Y32-Y36,"")</f>
        <v>20</v>
      </c>
      <c r="Z37" s="11"/>
      <c r="AA37" s="13"/>
      <c r="AB37" s="230">
        <f>IF(AB36,+AB32-AB36,"")</f>
        <v>1</v>
      </c>
      <c r="AC37" s="11"/>
      <c r="AD37" s="13"/>
      <c r="AE37" s="230" t="str">
        <f>IF(AE36,+AE32-AE36,"")</f>
        <v/>
      </c>
      <c r="AF37" s="11"/>
      <c r="AG37" s="13"/>
      <c r="AH37" s="230" t="str">
        <f>IF(AH36,+AH32-AH36,"")</f>
        <v/>
      </c>
      <c r="AI37" s="11"/>
      <c r="AJ37" s="13"/>
      <c r="AK37" s="230">
        <f>IF(AK36,+AK32-AK36,"")</f>
        <v>41.000099999999975</v>
      </c>
      <c r="AL37" s="11"/>
      <c r="AM37" s="13"/>
      <c r="AN37" s="230">
        <f>IF(AN36,+AN32-AN36,"")</f>
        <v>-1</v>
      </c>
      <c r="AO37" s="11"/>
      <c r="AP37" s="13"/>
      <c r="AQ37" s="230">
        <f>IF(AQ36,+AQ32-AQ36,"")</f>
        <v>17</v>
      </c>
      <c r="AR37" s="11"/>
      <c r="AS37" s="13"/>
      <c r="AT37" s="230">
        <f>IF(AT36,+AT32-AT36,"")</f>
        <v>68</v>
      </c>
      <c r="AU37" s="11"/>
      <c r="AV37" s="13"/>
      <c r="AW37" s="230">
        <f>IF(AW36,+AW32-AW36,"")</f>
        <v>5</v>
      </c>
      <c r="AX37" s="11"/>
      <c r="AY37" s="13"/>
      <c r="AZ37" s="230" t="str">
        <f>IF(AZ36,+AZ32-AZ36,"")</f>
        <v/>
      </c>
      <c r="BA37" s="11"/>
      <c r="BB37" s="13"/>
      <c r="BC37" s="230">
        <f>IF(BC36,+BC32-BC36,"")</f>
        <v>26</v>
      </c>
      <c r="BD37" s="11"/>
      <c r="BE37" s="13"/>
      <c r="BF37" s="230">
        <f>IF(BF36,+BF32-BF36,"")</f>
        <v>15</v>
      </c>
      <c r="BG37" s="11"/>
      <c r="BH37" s="13"/>
      <c r="BI37" s="230">
        <f>IF(BI36,+BI32-BI36,"")</f>
        <v>14</v>
      </c>
      <c r="BJ37" s="11"/>
      <c r="BK37" s="13"/>
      <c r="BL37" s="230" t="str">
        <f>IF(BL36,+BL32-BL36,"")</f>
        <v/>
      </c>
      <c r="BM37" s="11"/>
      <c r="BN37" s="13"/>
      <c r="BO37" s="230" t="str">
        <f>IF(BO36,+BO32-BO36,"")</f>
        <v/>
      </c>
      <c r="BP37" s="11"/>
      <c r="BQ37" s="13"/>
      <c r="BR37" s="230" t="str">
        <f>IF(BR36,+BR32-BR36,"")</f>
        <v/>
      </c>
      <c r="BS37" s="11"/>
      <c r="BT37" s="13"/>
      <c r="BU37" s="230" t="str">
        <f>IF(BU36,+BU32-BU36,"")</f>
        <v/>
      </c>
      <c r="BV37" s="11"/>
      <c r="BW37" s="13"/>
      <c r="BX37" s="230" t="str">
        <f>IF(BX36,+BX32-BX36,"")</f>
        <v/>
      </c>
      <c r="BY37" s="11"/>
      <c r="BZ37" s="13"/>
      <c r="CA37" s="230" t="str">
        <f>IF(CA36,+CA32-CA36,"")</f>
        <v/>
      </c>
      <c r="CD37" s="230"/>
    </row>
    <row r="38" spans="1:82" ht="15.75" x14ac:dyDescent="0.25">
      <c r="A38" s="5" t="s">
        <v>7</v>
      </c>
      <c r="B38" s="231"/>
      <c r="C38" s="232"/>
      <c r="D38" s="6" t="str">
        <f>IF(D32&lt;&gt;0,(IF(D32&gt;D36,"Win",IF(D32&lt;D36,"Loss","Draw"))),"")</f>
        <v>Loss</v>
      </c>
      <c r="E38" s="232"/>
      <c r="F38" s="232"/>
      <c r="G38" s="6" t="str">
        <f>IF(G32&lt;&gt;0,(IF(G32&gt;G36,"Win",IF(G32&lt;G36,"Loss","Draw"))),"")</f>
        <v>Win</v>
      </c>
      <c r="H38" s="10"/>
      <c r="I38" s="12"/>
      <c r="J38" s="6" t="str">
        <f>IF(J32&lt;&gt;0,(IF(J32&gt;J36,"Win",IF(J32&lt;J36,"Loss","Draw"))),"")</f>
        <v>Win</v>
      </c>
      <c r="K38" s="10"/>
      <c r="L38" s="12"/>
      <c r="M38" s="6" t="str">
        <f>IF(M32&lt;&gt;0,(IF(M32&gt;M36,"Win",IF(M32&lt;M36,"Loss","Draw"))),"")</f>
        <v/>
      </c>
      <c r="N38" s="10"/>
      <c r="O38" s="12"/>
      <c r="P38" s="6" t="str">
        <f>IF(P32&lt;&gt;0,(IF(P32&gt;P36,"Win",IF(P32&lt;P36,"Loss","Draw"))),"")</f>
        <v>Loss</v>
      </c>
      <c r="Q38" s="232"/>
      <c r="R38" s="232"/>
      <c r="S38" s="6" t="str">
        <f>IF(S32&lt;&gt;0,(IF(S32&gt;S36,"Win",IF(S32&lt;S36,"Loss","Draw"))),"")</f>
        <v>Win</v>
      </c>
      <c r="T38" s="10"/>
      <c r="U38" s="12"/>
      <c r="V38" s="6" t="str">
        <f>IF(V32&lt;&gt;0,(IF(V32&gt;V36,"Win",IF(V32&lt;V36,"Loss","Draw"))),"")</f>
        <v/>
      </c>
      <c r="W38" s="10"/>
      <c r="X38" s="12"/>
      <c r="Y38" s="6" t="str">
        <f>IF(Y32&lt;&gt;0,(IF(Y32&gt;Y36,"Win",IF(Y32&lt;Y36,"Loss","Draw"))),"")</f>
        <v>Win</v>
      </c>
      <c r="Z38" s="10"/>
      <c r="AA38" s="12"/>
      <c r="AB38" s="6" t="str">
        <f>IF(AB32&lt;&gt;0,(IF(AB32&gt;AB36,"Win",IF(AB32&lt;AB36,"Loss","Draw"))),"")</f>
        <v>Win</v>
      </c>
      <c r="AC38" s="232"/>
      <c r="AD38" s="232"/>
      <c r="AE38" s="6" t="str">
        <f>IF(AE32&lt;&gt;0,(IF(AE32&gt;AE36,"Win",IF(AE32&lt;AE36,"Loss","Draw"))),"")</f>
        <v/>
      </c>
      <c r="AF38" s="10"/>
      <c r="AG38" s="12"/>
      <c r="AH38" s="6" t="str">
        <f>IF(AH32&lt;&gt;0,(IF(AH32&gt;AH36,"Win",IF(AH32&lt;AH36,"Loss","Draw"))),"")</f>
        <v/>
      </c>
      <c r="AI38" s="10"/>
      <c r="AJ38" s="12"/>
      <c r="AK38" s="6" t="str">
        <f>IF(AK32&lt;&gt;0,(IF(AK32&gt;AK36,"Win",IF(AK32&lt;AK36,"Loss","Draw"))),"")</f>
        <v>Win</v>
      </c>
      <c r="AL38" s="10"/>
      <c r="AM38" s="12"/>
      <c r="AN38" s="6" t="str">
        <f>IF(AN32&lt;&gt;0,(IF(AN32&gt;AN36,"Win",IF(AN32&lt;AN36,"Loss","Draw"))),"")</f>
        <v>Loss</v>
      </c>
      <c r="AO38" s="232"/>
      <c r="AP38" s="232"/>
      <c r="AQ38" s="6" t="str">
        <f>IF(AQ32&lt;&gt;0,(IF(AQ32&gt;AQ36,"Win",IF(AQ32&lt;AQ36,"Loss","Draw"))),"")</f>
        <v>Win</v>
      </c>
      <c r="AR38" s="10"/>
      <c r="AS38" s="12"/>
      <c r="AT38" s="6" t="str">
        <f>IF(AT32&lt;&gt;0,(IF(AT32&gt;AT36,"Win",IF(AT32&lt;AT36,"Loss","Draw"))),"")</f>
        <v>Win</v>
      </c>
      <c r="AU38" s="10"/>
      <c r="AV38" s="12"/>
      <c r="AW38" s="6" t="str">
        <f>IF(AW32&lt;&gt;0,(IF(AW32&gt;AW36,"Win",IF(AW32&lt;AW36,"Loss","Draw"))),"")</f>
        <v>Win</v>
      </c>
      <c r="AX38" s="10"/>
      <c r="AY38" s="12"/>
      <c r="AZ38" s="6" t="str">
        <f>IF(AZ32&lt;&gt;0,(IF(AZ32&gt;AZ36,"Win",IF(AZ32&lt;AZ36,"Loss","Draw"))),"")</f>
        <v/>
      </c>
      <c r="BA38" s="232"/>
      <c r="BB38" s="232"/>
      <c r="BC38" s="6" t="str">
        <f>IF(BC32&lt;&gt;0,(IF(BC32&gt;BC36,"Win",IF(BC32&lt;BC36,"Loss","Draw"))),"")</f>
        <v>Win</v>
      </c>
      <c r="BD38" s="232"/>
      <c r="BE38" s="232"/>
      <c r="BF38" s="6" t="str">
        <f>IF(BF32&lt;&gt;0,(IF(BF32&gt;BF36,"Win",IF(BF32&lt;BF36,"Loss","Draw"))),"")</f>
        <v>Win</v>
      </c>
      <c r="BG38" s="10"/>
      <c r="BH38" s="12"/>
      <c r="BI38" s="6" t="str">
        <f>IF(BI32&lt;&gt;0,(IF(BI32&gt;BI36,"Win",IF(BI32&lt;BI36,"Loss","Draw"))),"")</f>
        <v>Win</v>
      </c>
      <c r="BJ38" s="10"/>
      <c r="BK38" s="12"/>
      <c r="BL38" s="6"/>
      <c r="BM38" s="232"/>
      <c r="BN38" s="232"/>
      <c r="BO38" s="6" t="str">
        <f>IF(BO32&lt;&gt;0,(IF(BO32&gt;BO36,"Win",IF(BO32&lt;BO36,"Loss","Draw"))),"")</f>
        <v/>
      </c>
      <c r="BP38" s="10"/>
      <c r="BQ38" s="12"/>
      <c r="BR38" s="6" t="str">
        <f>IF(BR32&lt;&gt;0,(IF(BR32&gt;BR36,"Win",IF(BR32&lt;BR36,"Loss","Draw"))),"")</f>
        <v/>
      </c>
      <c r="BS38" s="10"/>
      <c r="BT38" s="12"/>
      <c r="BU38" s="6" t="str">
        <f>IF(BU32&lt;&gt;0,(IF(BU32&gt;BU36,"Win",IF(BU32&lt;BU36,"Loss","Draw"))),"")</f>
        <v/>
      </c>
      <c r="BV38" s="10"/>
      <c r="BW38" s="12"/>
      <c r="BX38" s="6" t="str">
        <f>IF(BX32&lt;&gt;0,(IF(BX32&gt;BX36,"Win",IF(BX32&lt;BX36,"Loss","Draw"))),"")</f>
        <v/>
      </c>
      <c r="BY38" s="10"/>
      <c r="BZ38" s="12"/>
      <c r="CA38" s="6" t="str">
        <f>IF(CA32&lt;&gt;0,(IF(CA32&gt;CA36,"Win",IF(CA32&lt;CA36,"Loss","Draw"))),"")</f>
        <v/>
      </c>
    </row>
    <row r="39" spans="1:82" ht="66" customHeight="1" x14ac:dyDescent="0.25">
      <c r="A39" s="14" t="s">
        <v>9</v>
      </c>
      <c r="B39" s="367"/>
      <c r="C39" s="368"/>
      <c r="D39" s="369"/>
      <c r="E39" s="367"/>
      <c r="F39" s="368"/>
      <c r="G39" s="369"/>
      <c r="H39" s="367" t="s">
        <v>94</v>
      </c>
      <c r="I39" s="368"/>
      <c r="J39" s="369"/>
      <c r="K39" s="367" t="s">
        <v>99</v>
      </c>
      <c r="L39" s="368"/>
      <c r="M39" s="369"/>
      <c r="N39" s="367" t="s">
        <v>100</v>
      </c>
      <c r="O39" s="368"/>
      <c r="P39" s="369"/>
      <c r="Q39" s="367"/>
      <c r="R39" s="368"/>
      <c r="S39" s="369"/>
      <c r="T39" s="367" t="s">
        <v>95</v>
      </c>
      <c r="U39" s="368"/>
      <c r="V39" s="369"/>
      <c r="W39" s="367"/>
      <c r="X39" s="368"/>
      <c r="Y39" s="369"/>
      <c r="Z39" s="367"/>
      <c r="AA39" s="368"/>
      <c r="AB39" s="369"/>
      <c r="AC39" s="367"/>
      <c r="AD39" s="368"/>
      <c r="AE39" s="369"/>
      <c r="AF39" s="367" t="s">
        <v>96</v>
      </c>
      <c r="AG39" s="368"/>
      <c r="AH39" s="369"/>
      <c r="AI39" s="367" t="s">
        <v>102</v>
      </c>
      <c r="AJ39" s="368"/>
      <c r="AK39" s="369"/>
      <c r="AL39" s="367"/>
      <c r="AM39" s="368"/>
      <c r="AN39" s="369"/>
      <c r="AO39" s="367"/>
      <c r="AP39" s="368"/>
      <c r="AQ39" s="369"/>
      <c r="AR39" s="367"/>
      <c r="AS39" s="368"/>
      <c r="AT39" s="369"/>
      <c r="AU39" s="367"/>
      <c r="AV39" s="368"/>
      <c r="AW39" s="369"/>
      <c r="AX39" s="367" t="s">
        <v>65</v>
      </c>
      <c r="AY39" s="368"/>
      <c r="AZ39" s="369"/>
      <c r="BA39" s="367"/>
      <c r="BB39" s="368"/>
      <c r="BC39" s="369"/>
      <c r="BD39" s="367" t="s">
        <v>106</v>
      </c>
      <c r="BE39" s="368"/>
      <c r="BF39" s="369"/>
      <c r="BG39" s="367"/>
      <c r="BH39" s="368"/>
      <c r="BI39" s="369"/>
      <c r="BJ39" s="367"/>
      <c r="BK39" s="368"/>
      <c r="BL39" s="369"/>
      <c r="BM39" s="367"/>
      <c r="BN39" s="368"/>
      <c r="BO39" s="369"/>
      <c r="BP39" s="367"/>
      <c r="BQ39" s="368"/>
      <c r="BR39" s="369"/>
      <c r="BS39" s="367"/>
      <c r="BT39" s="368"/>
      <c r="BU39" s="369"/>
      <c r="BV39" s="367"/>
      <c r="BW39" s="368"/>
      <c r="BX39" s="369"/>
      <c r="BY39" s="367"/>
      <c r="BZ39" s="368"/>
      <c r="CA39" s="369"/>
    </row>
    <row r="40" spans="1:82" ht="15.75" hidden="1" customHeight="1" x14ac:dyDescent="0.25">
      <c r="A40" t="s">
        <v>15</v>
      </c>
      <c r="B40" s="8" t="s">
        <v>31</v>
      </c>
      <c r="C40" s="8"/>
      <c r="D40" s="4"/>
      <c r="E40" s="4"/>
      <c r="F40" s="4"/>
      <c r="H40" s="4"/>
      <c r="I40" s="4"/>
      <c r="Q40" s="8"/>
      <c r="R40" s="8"/>
      <c r="S40" s="4"/>
      <c r="T40" s="4"/>
      <c r="U40" s="4"/>
      <c r="W40" s="4"/>
      <c r="X40" s="4"/>
      <c r="AL40" s="4"/>
      <c r="AM40" s="4"/>
    </row>
    <row r="41" spans="1:82" ht="15.75" hidden="1" customHeight="1" x14ac:dyDescent="0.25">
      <c r="A41" t="s">
        <v>6</v>
      </c>
      <c r="B41" s="8" t="s">
        <v>32</v>
      </c>
      <c r="C41" s="8"/>
      <c r="D41" s="4"/>
      <c r="E41" s="4"/>
      <c r="F41" s="4"/>
      <c r="H41" s="4"/>
      <c r="I41" s="4"/>
      <c r="Q41" s="8"/>
      <c r="R41" s="8"/>
      <c r="S41" s="4"/>
      <c r="T41" s="4"/>
      <c r="U41" s="4"/>
      <c r="W41" s="4"/>
      <c r="X41" s="4"/>
      <c r="AL41" s="4"/>
      <c r="AM41" s="4"/>
    </row>
    <row r="42" spans="1:82" ht="15.75" x14ac:dyDescent="0.25">
      <c r="B42" s="8"/>
      <c r="C42" s="8"/>
      <c r="D42" s="4"/>
      <c r="E42" s="4"/>
      <c r="F42" s="4"/>
      <c r="H42" s="4"/>
      <c r="I42" s="4"/>
      <c r="Q42" s="8"/>
      <c r="R42" s="8"/>
      <c r="S42" s="4"/>
      <c r="T42" s="4"/>
      <c r="U42" s="4"/>
      <c r="W42" s="4"/>
      <c r="X42" s="4"/>
      <c r="AL42" s="4"/>
      <c r="AM42" s="4"/>
    </row>
    <row r="43" spans="1:82" ht="15.75" x14ac:dyDescent="0.25">
      <c r="A43" t="s">
        <v>29</v>
      </c>
      <c r="P43" s="131"/>
      <c r="Q43" s="233"/>
      <c r="R43" s="233"/>
      <c r="S43" s="131"/>
      <c r="T43" s="131"/>
      <c r="U43" s="131"/>
      <c r="V43" s="131"/>
      <c r="W43" s="234"/>
      <c r="X43" s="235"/>
      <c r="Y43" s="234"/>
      <c r="Z43" s="234"/>
      <c r="AA43" s="235"/>
      <c r="AB43" s="234"/>
      <c r="AC43" s="234"/>
      <c r="AD43" s="235"/>
      <c r="AE43" s="234"/>
      <c r="AF43" s="234"/>
      <c r="AG43" s="235"/>
      <c r="AH43" s="234"/>
      <c r="AI43" s="234"/>
      <c r="AJ43" s="235"/>
      <c r="AK43" s="234"/>
      <c r="AL43" s="234"/>
      <c r="AM43" s="234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</row>
    <row r="44" spans="1:82" ht="15.75" x14ac:dyDescent="0.25">
      <c r="P44" s="131"/>
      <c r="Q44" s="131"/>
      <c r="R44" s="131"/>
      <c r="S44" s="131"/>
      <c r="T44" s="131"/>
      <c r="U44" s="131"/>
      <c r="V44" s="131"/>
      <c r="W44" s="234"/>
      <c r="X44" s="235"/>
      <c r="Y44" s="234"/>
      <c r="Z44" s="234"/>
      <c r="AA44" s="234"/>
      <c r="AB44" s="236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</row>
    <row r="45" spans="1:82" ht="15.75" x14ac:dyDescent="0.25">
      <c r="P45" s="131"/>
      <c r="Q45" s="131"/>
      <c r="R45" s="131"/>
      <c r="S45" s="131"/>
      <c r="T45" s="131"/>
      <c r="U45" s="131"/>
      <c r="V45" s="131"/>
      <c r="W45" s="237"/>
      <c r="X45" s="235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</row>
    <row r="46" spans="1:82" ht="15.75" x14ac:dyDescent="0.25">
      <c r="P46" s="131"/>
      <c r="Q46" s="131"/>
      <c r="R46" s="131"/>
      <c r="S46" s="131"/>
      <c r="T46" s="131"/>
      <c r="U46" s="131"/>
      <c r="V46" s="131"/>
      <c r="W46" s="237"/>
      <c r="X46" s="235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</row>
    <row r="47" spans="1:82" ht="15.75" x14ac:dyDescent="0.25">
      <c r="P47" s="131"/>
      <c r="Q47" s="131"/>
      <c r="R47" s="131"/>
      <c r="S47" s="131"/>
      <c r="T47" s="131"/>
      <c r="U47" s="131"/>
      <c r="V47" s="131"/>
      <c r="W47" s="237"/>
      <c r="X47" s="235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</row>
    <row r="48" spans="1:82" ht="15.75" x14ac:dyDescent="0.25">
      <c r="P48" s="131"/>
      <c r="Q48" s="131"/>
      <c r="R48" s="131"/>
      <c r="S48" s="131"/>
      <c r="T48" s="131"/>
      <c r="U48" s="131"/>
      <c r="V48" s="131"/>
      <c r="W48" s="237"/>
      <c r="X48" s="235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</row>
    <row r="49" spans="2:78" x14ac:dyDescent="0.25">
      <c r="P49" s="131"/>
      <c r="Q49" s="131"/>
      <c r="R49" s="131"/>
      <c r="S49" s="131"/>
      <c r="T49" s="131"/>
      <c r="U49" s="131"/>
      <c r="V49" s="131"/>
      <c r="W49" s="237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</row>
    <row r="50" spans="2:78" x14ac:dyDescent="0.25">
      <c r="P50" s="131"/>
      <c r="Q50" s="131"/>
      <c r="R50" s="131"/>
      <c r="S50" s="131"/>
      <c r="T50" s="131"/>
      <c r="U50" s="131"/>
      <c r="V50" s="131"/>
      <c r="W50" s="237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</row>
    <row r="51" spans="2:78" x14ac:dyDescent="0.25">
      <c r="P51" s="131"/>
      <c r="Q51" s="131"/>
      <c r="R51" s="131"/>
      <c r="S51" s="131"/>
      <c r="T51" s="131"/>
      <c r="U51" s="131"/>
      <c r="V51" s="131"/>
      <c r="W51" s="237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</row>
    <row r="52" spans="2:78" x14ac:dyDescent="0.25">
      <c r="P52" s="131"/>
      <c r="Q52" s="131"/>
      <c r="R52" s="131"/>
      <c r="S52" s="131"/>
      <c r="T52" s="131"/>
      <c r="U52" s="131"/>
      <c r="V52" s="131"/>
      <c r="W52" s="237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</row>
    <row r="53" spans="2:78" x14ac:dyDescent="0.25">
      <c r="P53" s="131"/>
      <c r="Q53" s="131"/>
      <c r="R53" s="131"/>
      <c r="S53" s="131"/>
      <c r="T53" s="131"/>
      <c r="U53" s="131"/>
      <c r="V53" s="131"/>
      <c r="W53" s="238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</row>
    <row r="54" spans="2:78" x14ac:dyDescent="0.25">
      <c r="P54" s="131"/>
      <c r="Q54" s="131"/>
      <c r="R54" s="131"/>
      <c r="S54" s="131"/>
      <c r="T54" s="131"/>
      <c r="U54" s="131"/>
      <c r="V54" s="131"/>
      <c r="W54" s="238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</row>
    <row r="55" spans="2:78" x14ac:dyDescent="0.25">
      <c r="P55" s="131"/>
      <c r="Q55" s="131"/>
      <c r="R55" s="131"/>
      <c r="S55" s="131"/>
      <c r="T55" s="131"/>
      <c r="U55" s="131"/>
      <c r="V55" s="131"/>
      <c r="W55" s="238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</row>
    <row r="56" spans="2:78" x14ac:dyDescent="0.25">
      <c r="W56" s="89"/>
    </row>
    <row r="57" spans="2:78" ht="15.75" x14ac:dyDescent="0.25">
      <c r="B57" s="3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78" ht="15.75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78" ht="15.75" x14ac:dyDescent="0.25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2:78" ht="15.75" x14ac:dyDescent="0.25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2:78" x14ac:dyDescent="0.25">
      <c r="F61" s="3"/>
      <c r="G61" s="3"/>
      <c r="H61" s="3"/>
      <c r="I61" s="3"/>
      <c r="J61" s="3"/>
      <c r="K61" s="3"/>
      <c r="L61" s="3"/>
      <c r="M61" s="3"/>
      <c r="N61" s="3"/>
      <c r="O61" s="3"/>
    </row>
  </sheetData>
  <sheetProtection selectLockedCells="1"/>
  <mergeCells count="209">
    <mergeCell ref="BG34:BI34"/>
    <mergeCell ref="BJ34:BL34"/>
    <mergeCell ref="BA35:BC35"/>
    <mergeCell ref="BD35:BF35"/>
    <mergeCell ref="BG35:BI35"/>
    <mergeCell ref="BJ35:BL35"/>
    <mergeCell ref="BA39:BC39"/>
    <mergeCell ref="BD39:BF39"/>
    <mergeCell ref="BG39:BI39"/>
    <mergeCell ref="BJ39:BL39"/>
    <mergeCell ref="BP6:BR6"/>
    <mergeCell ref="BS6:BU6"/>
    <mergeCell ref="AU6:AW6"/>
    <mergeCell ref="AU7:AW7"/>
    <mergeCell ref="AX7:AZ7"/>
    <mergeCell ref="BM7:BO7"/>
    <mergeCell ref="BP7:BR7"/>
    <mergeCell ref="BS7:BU7"/>
    <mergeCell ref="BV7:BX7"/>
    <mergeCell ref="BA6:BC6"/>
    <mergeCell ref="BD6:BF6"/>
    <mergeCell ref="BG6:BI6"/>
    <mergeCell ref="BJ6:BL6"/>
    <mergeCell ref="BA7:BC7"/>
    <mergeCell ref="BD7:BF7"/>
    <mergeCell ref="BG7:BI7"/>
    <mergeCell ref="BJ7:BL7"/>
    <mergeCell ref="BY7:CA7"/>
    <mergeCell ref="BV34:BX34"/>
    <mergeCell ref="BY34:CA34"/>
    <mergeCell ref="AU39:AW39"/>
    <mergeCell ref="AX39:AZ39"/>
    <mergeCell ref="BM39:BO39"/>
    <mergeCell ref="BP39:BR39"/>
    <mergeCell ref="BS39:BU39"/>
    <mergeCell ref="BV39:BX39"/>
    <mergeCell ref="BY39:CA39"/>
    <mergeCell ref="AU34:AW34"/>
    <mergeCell ref="AX34:AZ34"/>
    <mergeCell ref="BM34:BO34"/>
    <mergeCell ref="BP34:BR34"/>
    <mergeCell ref="BS34:BU34"/>
    <mergeCell ref="AU35:AW35"/>
    <mergeCell ref="AX35:AZ35"/>
    <mergeCell ref="BM35:BO35"/>
    <mergeCell ref="BP35:BR35"/>
    <mergeCell ref="BS35:BU35"/>
    <mergeCell ref="BV35:BX35"/>
    <mergeCell ref="BY35:CA35"/>
    <mergeCell ref="BA34:BC34"/>
    <mergeCell ref="BD34:BF34"/>
    <mergeCell ref="BV5:BX5"/>
    <mergeCell ref="I1:K1"/>
    <mergeCell ref="BV6:BX6"/>
    <mergeCell ref="BY5:CA5"/>
    <mergeCell ref="BV3:BX3"/>
    <mergeCell ref="BY3:CA3"/>
    <mergeCell ref="AU4:AW4"/>
    <mergeCell ref="AX4:AZ4"/>
    <mergeCell ref="BM4:BO4"/>
    <mergeCell ref="BP4:BR4"/>
    <mergeCell ref="BS4:BU4"/>
    <mergeCell ref="BV4:BX4"/>
    <mergeCell ref="BY4:CA4"/>
    <mergeCell ref="AU3:AW3"/>
    <mergeCell ref="AX3:AZ3"/>
    <mergeCell ref="BM3:BO3"/>
    <mergeCell ref="BP3:BR3"/>
    <mergeCell ref="BS3:BU3"/>
    <mergeCell ref="AX5:AZ5"/>
    <mergeCell ref="AU5:AW5"/>
    <mergeCell ref="AI6:AK6"/>
    <mergeCell ref="BY6:CA6"/>
    <mergeCell ref="AX6:AZ6"/>
    <mergeCell ref="BM6:BO6"/>
    <mergeCell ref="AC5:AE5"/>
    <mergeCell ref="AF5:AH5"/>
    <mergeCell ref="AI5:AK5"/>
    <mergeCell ref="AL5:AN5"/>
    <mergeCell ref="AO5:AQ5"/>
    <mergeCell ref="AR5:AT5"/>
    <mergeCell ref="BM5:BO5"/>
    <mergeCell ref="BP5:BR5"/>
    <mergeCell ref="BS5:BU5"/>
    <mergeCell ref="BA5:BC5"/>
    <mergeCell ref="BD5:BF5"/>
    <mergeCell ref="BG5:BI5"/>
    <mergeCell ref="BJ5:BL5"/>
    <mergeCell ref="AF39:AH39"/>
    <mergeCell ref="AI39:AK39"/>
    <mergeCell ref="AL39:AN39"/>
    <mergeCell ref="AO39:AQ39"/>
    <mergeCell ref="AR39:AT39"/>
    <mergeCell ref="AF34:AH34"/>
    <mergeCell ref="AI34:AK34"/>
    <mergeCell ref="AL34:AN34"/>
    <mergeCell ref="AO34:AQ34"/>
    <mergeCell ref="AR34:AT34"/>
    <mergeCell ref="AF35:AH35"/>
    <mergeCell ref="AI35:AK35"/>
    <mergeCell ref="AL35:AN35"/>
    <mergeCell ref="AO35:AQ35"/>
    <mergeCell ref="AR35:AT35"/>
    <mergeCell ref="AF7:AH7"/>
    <mergeCell ref="AI7:AK7"/>
    <mergeCell ref="AL7:AN7"/>
    <mergeCell ref="AO7:AQ7"/>
    <mergeCell ref="AR7:AT7"/>
    <mergeCell ref="AF3:AH3"/>
    <mergeCell ref="AI3:AK3"/>
    <mergeCell ref="AL3:AN3"/>
    <mergeCell ref="AO3:AQ3"/>
    <mergeCell ref="AR3:AT3"/>
    <mergeCell ref="AF6:AH6"/>
    <mergeCell ref="AF4:AH4"/>
    <mergeCell ref="AI4:AK4"/>
    <mergeCell ref="AL4:AN4"/>
    <mergeCell ref="AO4:AQ4"/>
    <mergeCell ref="AR4:AT4"/>
    <mergeCell ref="AL6:AN6"/>
    <mergeCell ref="AO6:AQ6"/>
    <mergeCell ref="AR6:AT6"/>
    <mergeCell ref="Q39:S39"/>
    <mergeCell ref="T39:V39"/>
    <mergeCell ref="W39:Y39"/>
    <mergeCell ref="Z39:AB39"/>
    <mergeCell ref="AC39:AE39"/>
    <mergeCell ref="Q34:S34"/>
    <mergeCell ref="T34:V34"/>
    <mergeCell ref="W34:Y34"/>
    <mergeCell ref="Z34:AB34"/>
    <mergeCell ref="AC34:AE34"/>
    <mergeCell ref="Q35:S35"/>
    <mergeCell ref="T35:V35"/>
    <mergeCell ref="W35:Y35"/>
    <mergeCell ref="Z35:AB35"/>
    <mergeCell ref="AC35:AE35"/>
    <mergeCell ref="Q7:S7"/>
    <mergeCell ref="T7:V7"/>
    <mergeCell ref="W7:Y7"/>
    <mergeCell ref="Z7:AB7"/>
    <mergeCell ref="AC7:AE7"/>
    <mergeCell ref="Q3:S3"/>
    <mergeCell ref="T3:V3"/>
    <mergeCell ref="W3:Y3"/>
    <mergeCell ref="Z3:AB3"/>
    <mergeCell ref="AC3:AE3"/>
    <mergeCell ref="T6:V6"/>
    <mergeCell ref="W6:Y6"/>
    <mergeCell ref="Z6:AB6"/>
    <mergeCell ref="AC6:AE6"/>
    <mergeCell ref="Q5:S5"/>
    <mergeCell ref="Q6:S6"/>
    <mergeCell ref="Q4:S4"/>
    <mergeCell ref="T4:V4"/>
    <mergeCell ref="W4:Y4"/>
    <mergeCell ref="Z4:AB4"/>
    <mergeCell ref="AC4:AE4"/>
    <mergeCell ref="T5:V5"/>
    <mergeCell ref="W5:Y5"/>
    <mergeCell ref="Z5:AB5"/>
    <mergeCell ref="K7:M7"/>
    <mergeCell ref="K34:M34"/>
    <mergeCell ref="K39:M39"/>
    <mergeCell ref="N3:P3"/>
    <mergeCell ref="N7:P7"/>
    <mergeCell ref="N34:P34"/>
    <mergeCell ref="N39:P39"/>
    <mergeCell ref="K5:M5"/>
    <mergeCell ref="N5:P5"/>
    <mergeCell ref="K6:M6"/>
    <mergeCell ref="N6:P6"/>
    <mergeCell ref="K4:M4"/>
    <mergeCell ref="N4:P4"/>
    <mergeCell ref="K35:M35"/>
    <mergeCell ref="N35:P35"/>
    <mergeCell ref="H7:J7"/>
    <mergeCell ref="H34:J34"/>
    <mergeCell ref="H39:J39"/>
    <mergeCell ref="B3:D3"/>
    <mergeCell ref="B7:D7"/>
    <mergeCell ref="B34:D34"/>
    <mergeCell ref="B39:D39"/>
    <mergeCell ref="E3:G3"/>
    <mergeCell ref="E7:G7"/>
    <mergeCell ref="E34:G34"/>
    <mergeCell ref="E39:G39"/>
    <mergeCell ref="B5:D5"/>
    <mergeCell ref="B6:D6"/>
    <mergeCell ref="E5:G5"/>
    <mergeCell ref="H5:J5"/>
    <mergeCell ref="E6:G6"/>
    <mergeCell ref="H6:J6"/>
    <mergeCell ref="B4:D4"/>
    <mergeCell ref="E4:G4"/>
    <mergeCell ref="H4:J4"/>
    <mergeCell ref="B35:D35"/>
    <mergeCell ref="E35:G35"/>
    <mergeCell ref="H35:J35"/>
    <mergeCell ref="BA3:BC3"/>
    <mergeCell ref="BA4:BC4"/>
    <mergeCell ref="BD3:BF3"/>
    <mergeCell ref="BD4:BF4"/>
    <mergeCell ref="BG3:BI3"/>
    <mergeCell ref="BG4:BI4"/>
    <mergeCell ref="BJ3:BL3"/>
    <mergeCell ref="BJ4:BL4"/>
    <mergeCell ref="H3:J3"/>
    <mergeCell ref="K3:M3"/>
  </mergeCells>
  <conditionalFormatting sqref="AA43 X43:X48">
    <cfRule type="containsText" dxfId="432" priority="578" operator="containsText" text="Tote">
      <formula>NOT(ISERROR(SEARCH("Tote",X43)))</formula>
    </cfRule>
  </conditionalFormatting>
  <conditionalFormatting sqref="AD43">
    <cfRule type="containsText" dxfId="431" priority="543" operator="containsText" text="Tote">
      <formula>NOT(ISERROR(SEARCH("Tote",AD43)))</formula>
    </cfRule>
  </conditionalFormatting>
  <conditionalFormatting sqref="AG43">
    <cfRule type="containsText" dxfId="430" priority="536" operator="containsText" text="Tote">
      <formula>NOT(ISERROR(SEARCH("Tote",AG43)))</formula>
    </cfRule>
  </conditionalFormatting>
  <conditionalFormatting sqref="AJ43">
    <cfRule type="containsText" dxfId="429" priority="529" operator="containsText" text="Tote">
      <formula>NOT(ISERROR(SEARCH("Tote",AJ43)))</formula>
    </cfRule>
  </conditionalFormatting>
  <conditionalFormatting sqref="I31">
    <cfRule type="containsText" dxfId="428" priority="440" operator="containsText" text="Tote">
      <formula>NOT(ISERROR(SEARCH("Tote",I31)))</formula>
    </cfRule>
  </conditionalFormatting>
  <conditionalFormatting sqref="I30:I31">
    <cfRule type="containsText" dxfId="427" priority="441" operator="containsText" text="Tote">
      <formula>NOT(ISERROR(SEARCH("Tote",I30)))</formula>
    </cfRule>
  </conditionalFormatting>
  <conditionalFormatting sqref="L31">
    <cfRule type="containsText" dxfId="426" priority="437" operator="containsText" text="Tote">
      <formula>NOT(ISERROR(SEARCH("Tote",L31)))</formula>
    </cfRule>
  </conditionalFormatting>
  <conditionalFormatting sqref="L31">
    <cfRule type="containsText" dxfId="425" priority="438" operator="containsText" text="Tote">
      <formula>NOT(ISERROR(SEARCH("Tote",L31)))</formula>
    </cfRule>
  </conditionalFormatting>
  <conditionalFormatting sqref="J38">
    <cfRule type="containsText" dxfId="424" priority="415" operator="containsText" text="Draw">
      <formula>NOT(ISERROR(SEARCH("Draw",J38)))</formula>
    </cfRule>
    <cfRule type="containsText" dxfId="423" priority="416" operator="containsText" text="Loss">
      <formula>NOT(ISERROR(SEARCH("Loss",J38)))</formula>
    </cfRule>
    <cfRule type="containsText" dxfId="422" priority="417" operator="containsText" text="Win">
      <formula>NOT(ISERROR(SEARCH("Win",J38)))</formula>
    </cfRule>
  </conditionalFormatting>
  <conditionalFormatting sqref="G38">
    <cfRule type="containsText" dxfId="421" priority="397" operator="containsText" text="Draw">
      <formula>NOT(ISERROR(SEARCH("Draw",G38)))</formula>
    </cfRule>
    <cfRule type="containsText" dxfId="420" priority="398" operator="containsText" text="Loss">
      <formula>NOT(ISERROR(SEARCH("Loss",G38)))</formula>
    </cfRule>
    <cfRule type="containsText" dxfId="419" priority="399" operator="containsText" text="Win">
      <formula>NOT(ISERROR(SEARCH("Win",G38)))</formula>
    </cfRule>
  </conditionalFormatting>
  <conditionalFormatting sqref="D38">
    <cfRule type="containsText" dxfId="418" priority="394" operator="containsText" text="Draw">
      <formula>NOT(ISERROR(SEARCH("Draw",D38)))</formula>
    </cfRule>
    <cfRule type="containsText" dxfId="417" priority="395" operator="containsText" text="Loss">
      <formula>NOT(ISERROR(SEARCH("Loss",D38)))</formula>
    </cfRule>
    <cfRule type="containsText" dxfId="416" priority="396" operator="containsText" text="Win">
      <formula>NOT(ISERROR(SEARCH("Win",D38)))</formula>
    </cfRule>
  </conditionalFormatting>
  <conditionalFormatting sqref="M38">
    <cfRule type="containsText" dxfId="415" priority="391" operator="containsText" text="Draw">
      <formula>NOT(ISERROR(SEARCH("Draw",M38)))</formula>
    </cfRule>
    <cfRule type="containsText" dxfId="414" priority="392" operator="containsText" text="Loss">
      <formula>NOT(ISERROR(SEARCH("Loss",M38)))</formula>
    </cfRule>
    <cfRule type="containsText" dxfId="413" priority="393" operator="containsText" text="Win">
      <formula>NOT(ISERROR(SEARCH("Win",M38)))</formula>
    </cfRule>
  </conditionalFormatting>
  <conditionalFormatting sqref="V38">
    <cfRule type="containsText" dxfId="412" priority="388" operator="containsText" text="Draw">
      <formula>NOT(ISERROR(SEARCH("Draw",V38)))</formula>
    </cfRule>
    <cfRule type="containsText" dxfId="411" priority="389" operator="containsText" text="Loss">
      <formula>NOT(ISERROR(SEARCH("Loss",V38)))</formula>
    </cfRule>
    <cfRule type="containsText" dxfId="410" priority="390" operator="containsText" text="Win">
      <formula>NOT(ISERROR(SEARCH("Win",V38)))</formula>
    </cfRule>
  </conditionalFormatting>
  <conditionalFormatting sqref="S38">
    <cfRule type="containsText" dxfId="409" priority="385" operator="containsText" text="Draw">
      <formula>NOT(ISERROR(SEARCH("Draw",S38)))</formula>
    </cfRule>
    <cfRule type="containsText" dxfId="408" priority="386" operator="containsText" text="Loss">
      <formula>NOT(ISERROR(SEARCH("Loss",S38)))</formula>
    </cfRule>
    <cfRule type="containsText" dxfId="407" priority="387" operator="containsText" text="Win">
      <formula>NOT(ISERROR(SEARCH("Win",S38)))</formula>
    </cfRule>
  </conditionalFormatting>
  <conditionalFormatting sqref="P38">
    <cfRule type="containsText" dxfId="406" priority="382" operator="containsText" text="Draw">
      <formula>NOT(ISERROR(SEARCH("Draw",P38)))</formula>
    </cfRule>
    <cfRule type="containsText" dxfId="405" priority="383" operator="containsText" text="Loss">
      <formula>NOT(ISERROR(SEARCH("Loss",P38)))</formula>
    </cfRule>
    <cfRule type="containsText" dxfId="404" priority="384" operator="containsText" text="Win">
      <formula>NOT(ISERROR(SEARCH("Win",P38)))</formula>
    </cfRule>
  </conditionalFormatting>
  <conditionalFormatting sqref="Y38">
    <cfRule type="containsText" dxfId="403" priority="379" operator="containsText" text="Draw">
      <formula>NOT(ISERROR(SEARCH("Draw",Y38)))</formula>
    </cfRule>
    <cfRule type="containsText" dxfId="402" priority="380" operator="containsText" text="Loss">
      <formula>NOT(ISERROR(SEARCH("Loss",Y38)))</formula>
    </cfRule>
    <cfRule type="containsText" dxfId="401" priority="381" operator="containsText" text="Win">
      <formula>NOT(ISERROR(SEARCH("Win",Y38)))</formula>
    </cfRule>
  </conditionalFormatting>
  <conditionalFormatting sqref="AH38">
    <cfRule type="containsText" dxfId="400" priority="376" operator="containsText" text="Draw">
      <formula>NOT(ISERROR(SEARCH("Draw",AH38)))</formula>
    </cfRule>
    <cfRule type="containsText" dxfId="399" priority="377" operator="containsText" text="Loss">
      <formula>NOT(ISERROR(SEARCH("Loss",AH38)))</formula>
    </cfRule>
    <cfRule type="containsText" dxfId="398" priority="378" operator="containsText" text="Win">
      <formula>NOT(ISERROR(SEARCH("Win",AH38)))</formula>
    </cfRule>
  </conditionalFormatting>
  <conditionalFormatting sqref="AE38">
    <cfRule type="containsText" dxfId="397" priority="373" operator="containsText" text="Draw">
      <formula>NOT(ISERROR(SEARCH("Draw",AE38)))</formula>
    </cfRule>
    <cfRule type="containsText" dxfId="396" priority="374" operator="containsText" text="Loss">
      <formula>NOT(ISERROR(SEARCH("Loss",AE38)))</formula>
    </cfRule>
    <cfRule type="containsText" dxfId="395" priority="375" operator="containsText" text="Win">
      <formula>NOT(ISERROR(SEARCH("Win",AE38)))</formula>
    </cfRule>
  </conditionalFormatting>
  <conditionalFormatting sqref="AK38">
    <cfRule type="containsText" dxfId="394" priority="367" operator="containsText" text="Draw">
      <formula>NOT(ISERROR(SEARCH("Draw",AK38)))</formula>
    </cfRule>
    <cfRule type="containsText" dxfId="393" priority="368" operator="containsText" text="Loss">
      <formula>NOT(ISERROR(SEARCH("Loss",AK38)))</formula>
    </cfRule>
    <cfRule type="containsText" dxfId="392" priority="369" operator="containsText" text="Win">
      <formula>NOT(ISERROR(SEARCH("Win",AK38)))</formula>
    </cfRule>
  </conditionalFormatting>
  <conditionalFormatting sqref="AT38">
    <cfRule type="containsText" dxfId="391" priority="364" operator="containsText" text="Draw">
      <formula>NOT(ISERROR(SEARCH("Draw",AT38)))</formula>
    </cfRule>
    <cfRule type="containsText" dxfId="390" priority="365" operator="containsText" text="Loss">
      <formula>NOT(ISERROR(SEARCH("Loss",AT38)))</formula>
    </cfRule>
    <cfRule type="containsText" dxfId="389" priority="366" operator="containsText" text="Win">
      <formula>NOT(ISERROR(SEARCH("Win",AT38)))</formula>
    </cfRule>
  </conditionalFormatting>
  <conditionalFormatting sqref="AQ38">
    <cfRule type="containsText" dxfId="388" priority="361" operator="containsText" text="Draw">
      <formula>NOT(ISERROR(SEARCH("Draw",AQ38)))</formula>
    </cfRule>
    <cfRule type="containsText" dxfId="387" priority="362" operator="containsText" text="Loss">
      <formula>NOT(ISERROR(SEARCH("Loss",AQ38)))</formula>
    </cfRule>
    <cfRule type="containsText" dxfId="386" priority="363" operator="containsText" text="Win">
      <formula>NOT(ISERROR(SEARCH("Win",AQ38)))</formula>
    </cfRule>
  </conditionalFormatting>
  <conditionalFormatting sqref="AN38">
    <cfRule type="containsText" dxfId="385" priority="358" operator="containsText" text="Draw">
      <formula>NOT(ISERROR(SEARCH("Draw",AN38)))</formula>
    </cfRule>
    <cfRule type="containsText" dxfId="384" priority="359" operator="containsText" text="Loss">
      <formula>NOT(ISERROR(SEARCH("Loss",AN38)))</formula>
    </cfRule>
    <cfRule type="containsText" dxfId="383" priority="360" operator="containsText" text="Win">
      <formula>NOT(ISERROR(SEARCH("Win",AN38)))</formula>
    </cfRule>
  </conditionalFormatting>
  <conditionalFormatting sqref="AW38">
    <cfRule type="containsText" dxfId="382" priority="355" operator="containsText" text="Draw">
      <formula>NOT(ISERROR(SEARCH("Draw",AW38)))</formula>
    </cfRule>
    <cfRule type="containsText" dxfId="381" priority="356" operator="containsText" text="Loss">
      <formula>NOT(ISERROR(SEARCH("Loss",AW38)))</formula>
    </cfRule>
    <cfRule type="containsText" dxfId="380" priority="357" operator="containsText" text="Win">
      <formula>NOT(ISERROR(SEARCH("Win",AW38)))</formula>
    </cfRule>
  </conditionalFormatting>
  <conditionalFormatting sqref="BR38">
    <cfRule type="containsText" dxfId="379" priority="352" operator="containsText" text="Draw">
      <formula>NOT(ISERROR(SEARCH("Draw",BR38)))</formula>
    </cfRule>
    <cfRule type="containsText" dxfId="378" priority="353" operator="containsText" text="Loss">
      <formula>NOT(ISERROR(SEARCH("Loss",BR38)))</formula>
    </cfRule>
    <cfRule type="containsText" dxfId="377" priority="354" operator="containsText" text="Win">
      <formula>NOT(ISERROR(SEARCH("Win",BR38)))</formula>
    </cfRule>
  </conditionalFormatting>
  <conditionalFormatting sqref="BO38">
    <cfRule type="containsText" dxfId="376" priority="349" operator="containsText" text="Draw">
      <formula>NOT(ISERROR(SEARCH("Draw",BO38)))</formula>
    </cfRule>
    <cfRule type="containsText" dxfId="375" priority="350" operator="containsText" text="Loss">
      <formula>NOT(ISERROR(SEARCH("Loss",BO38)))</formula>
    </cfRule>
    <cfRule type="containsText" dxfId="374" priority="351" operator="containsText" text="Win">
      <formula>NOT(ISERROR(SEARCH("Win",BO38)))</formula>
    </cfRule>
  </conditionalFormatting>
  <conditionalFormatting sqref="AZ38">
    <cfRule type="containsText" dxfId="373" priority="346" operator="containsText" text="Draw">
      <formula>NOT(ISERROR(SEARCH("Draw",AZ38)))</formula>
    </cfRule>
    <cfRule type="containsText" dxfId="372" priority="347" operator="containsText" text="Loss">
      <formula>NOT(ISERROR(SEARCH("Loss",AZ38)))</formula>
    </cfRule>
    <cfRule type="containsText" dxfId="371" priority="348" operator="containsText" text="Win">
      <formula>NOT(ISERROR(SEARCH("Win",AZ38)))</formula>
    </cfRule>
  </conditionalFormatting>
  <conditionalFormatting sqref="BU38">
    <cfRule type="containsText" dxfId="370" priority="343" operator="containsText" text="Draw">
      <formula>NOT(ISERROR(SEARCH("Draw",BU38)))</formula>
    </cfRule>
    <cfRule type="containsText" dxfId="369" priority="344" operator="containsText" text="Loss">
      <formula>NOT(ISERROR(SEARCH("Loss",BU38)))</formula>
    </cfRule>
    <cfRule type="containsText" dxfId="368" priority="345" operator="containsText" text="Win">
      <formula>NOT(ISERROR(SEARCH("Win",BU38)))</formula>
    </cfRule>
  </conditionalFormatting>
  <conditionalFormatting sqref="BX38">
    <cfRule type="containsText" dxfId="367" priority="340" operator="containsText" text="Draw">
      <formula>NOT(ISERROR(SEARCH("Draw",BX38)))</formula>
    </cfRule>
    <cfRule type="containsText" dxfId="366" priority="341" operator="containsText" text="Loss">
      <formula>NOT(ISERROR(SEARCH("Loss",BX38)))</formula>
    </cfRule>
    <cfRule type="containsText" dxfId="365" priority="342" operator="containsText" text="Win">
      <formula>NOT(ISERROR(SEARCH("Win",BX38)))</formula>
    </cfRule>
  </conditionalFormatting>
  <conditionalFormatting sqref="CA38">
    <cfRule type="containsText" dxfId="364" priority="337" operator="containsText" text="Draw">
      <formula>NOT(ISERROR(SEARCH("Draw",CA38)))</formula>
    </cfRule>
    <cfRule type="containsText" dxfId="363" priority="338" operator="containsText" text="Loss">
      <formula>NOT(ISERROR(SEARCH("Loss",CA38)))</formula>
    </cfRule>
    <cfRule type="containsText" dxfId="362" priority="339" operator="containsText" text="Win">
      <formula>NOT(ISERROR(SEARCH("Win",CA38)))</formula>
    </cfRule>
  </conditionalFormatting>
  <conditionalFormatting sqref="I11:I22 I24:I25 I27 I29">
    <cfRule type="containsText" dxfId="361" priority="336" operator="containsText" text="Tote">
      <formula>NOT(ISERROR(SEARCH("Tote",I11)))</formula>
    </cfRule>
  </conditionalFormatting>
  <conditionalFormatting sqref="I22 I24">
    <cfRule type="containsText" dxfId="360" priority="335" operator="containsText" text="Tote">
      <formula>NOT(ISERROR(SEARCH("Tote",I22)))</formula>
    </cfRule>
  </conditionalFormatting>
  <conditionalFormatting sqref="C11:C22">
    <cfRule type="containsText" dxfId="359" priority="330" operator="containsText" text="Tote">
      <formula>NOT(ISERROR(SEARCH("Tote",C11)))</formula>
    </cfRule>
  </conditionalFormatting>
  <conditionalFormatting sqref="C22">
    <cfRule type="containsText" dxfId="358" priority="329" operator="containsText" text="Tote">
      <formula>NOT(ISERROR(SEARCH("Tote",C22)))</formula>
    </cfRule>
  </conditionalFormatting>
  <conditionalFormatting sqref="L30">
    <cfRule type="containsText" dxfId="357" priority="328" operator="containsText" text="Tote">
      <formula>NOT(ISERROR(SEARCH("Tote",L30)))</formula>
    </cfRule>
  </conditionalFormatting>
  <conditionalFormatting sqref="L11:L22 L24:L25 L27 L29">
    <cfRule type="containsText" dxfId="356" priority="327" operator="containsText" text="Tote">
      <formula>NOT(ISERROR(SEARCH("Tote",L11)))</formula>
    </cfRule>
  </conditionalFormatting>
  <conditionalFormatting sqref="L22 L24">
    <cfRule type="containsText" dxfId="355" priority="326" operator="containsText" text="Tote">
      <formula>NOT(ISERROR(SEARCH("Tote",L22)))</formula>
    </cfRule>
  </conditionalFormatting>
  <conditionalFormatting sqref="F31">
    <cfRule type="containsText" dxfId="354" priority="318" operator="containsText" text="Tote">
      <formula>NOT(ISERROR(SEARCH("Tote",F31)))</formula>
    </cfRule>
  </conditionalFormatting>
  <conditionalFormatting sqref="F30:F31">
    <cfRule type="containsText" dxfId="353" priority="319" operator="containsText" text="Tote">
      <formula>NOT(ISERROR(SEARCH("Tote",F30)))</formula>
    </cfRule>
  </conditionalFormatting>
  <conditionalFormatting sqref="F11:F22 F24:F25 F27 F29">
    <cfRule type="containsText" dxfId="352" priority="317" operator="containsText" text="Tote">
      <formula>NOT(ISERROR(SEARCH("Tote",F11)))</formula>
    </cfRule>
  </conditionalFormatting>
  <conditionalFormatting sqref="F22 F24">
    <cfRule type="containsText" dxfId="351" priority="316" operator="containsText" text="Tote">
      <formula>NOT(ISERROR(SEARCH("Tote",F22)))</formula>
    </cfRule>
  </conditionalFormatting>
  <conditionalFormatting sqref="O31">
    <cfRule type="containsText" dxfId="350" priority="313" operator="containsText" text="Tote">
      <formula>NOT(ISERROR(SEARCH("Tote",O31)))</formula>
    </cfRule>
  </conditionalFormatting>
  <conditionalFormatting sqref="O31">
    <cfRule type="containsText" dxfId="349" priority="314" operator="containsText" text="Tote">
      <formula>NOT(ISERROR(SEARCH("Tote",O31)))</formula>
    </cfRule>
  </conditionalFormatting>
  <conditionalFormatting sqref="O30">
    <cfRule type="containsText" dxfId="348" priority="312" operator="containsText" text="Tote">
      <formula>NOT(ISERROR(SEARCH("Tote",O30)))</formula>
    </cfRule>
  </conditionalFormatting>
  <conditionalFormatting sqref="O22 O24:O25 O27 O29">
    <cfRule type="containsText" dxfId="347" priority="311" operator="containsText" text="Tote">
      <formula>NOT(ISERROR(SEARCH("Tote",O22)))</formula>
    </cfRule>
  </conditionalFormatting>
  <conditionalFormatting sqref="O22 O24">
    <cfRule type="containsText" dxfId="346" priority="310" operator="containsText" text="Tote">
      <formula>NOT(ISERROR(SEARCH("Tote",O22)))</formula>
    </cfRule>
  </conditionalFormatting>
  <conditionalFormatting sqref="R31">
    <cfRule type="containsText" dxfId="345" priority="308" operator="containsText" text="Tote">
      <formula>NOT(ISERROR(SEARCH("Tote",R31)))</formula>
    </cfRule>
  </conditionalFormatting>
  <conditionalFormatting sqref="R31">
    <cfRule type="containsText" dxfId="344" priority="309" operator="containsText" text="Tote">
      <formula>NOT(ISERROR(SEARCH("Tote",R31)))</formula>
    </cfRule>
  </conditionalFormatting>
  <conditionalFormatting sqref="R30">
    <cfRule type="containsText" dxfId="343" priority="307" operator="containsText" text="Tote">
      <formula>NOT(ISERROR(SEARCH("Tote",R30)))</formula>
    </cfRule>
  </conditionalFormatting>
  <conditionalFormatting sqref="R11:R22 R24:R25 R27 R29">
    <cfRule type="containsText" dxfId="342" priority="306" operator="containsText" text="Tote">
      <formula>NOT(ISERROR(SEARCH("Tote",R11)))</formula>
    </cfRule>
  </conditionalFormatting>
  <conditionalFormatting sqref="R22 R24">
    <cfRule type="containsText" dxfId="341" priority="305" operator="containsText" text="Tote">
      <formula>NOT(ISERROR(SEARCH("Tote",R22)))</formula>
    </cfRule>
  </conditionalFormatting>
  <conditionalFormatting sqref="U31">
    <cfRule type="containsText" dxfId="340" priority="303" operator="containsText" text="Tote">
      <formula>NOT(ISERROR(SEARCH("Tote",U31)))</formula>
    </cfRule>
  </conditionalFormatting>
  <conditionalFormatting sqref="U31">
    <cfRule type="containsText" dxfId="339" priority="304" operator="containsText" text="Tote">
      <formula>NOT(ISERROR(SEARCH("Tote",U31)))</formula>
    </cfRule>
  </conditionalFormatting>
  <conditionalFormatting sqref="U30">
    <cfRule type="containsText" dxfId="338" priority="302" operator="containsText" text="Tote">
      <formula>NOT(ISERROR(SEARCH("Tote",U30)))</formula>
    </cfRule>
  </conditionalFormatting>
  <conditionalFormatting sqref="U21:U22 U24:U25 U27 U29">
    <cfRule type="containsText" dxfId="337" priority="301" operator="containsText" text="Tote">
      <formula>NOT(ISERROR(SEARCH("Tote",U21)))</formula>
    </cfRule>
  </conditionalFormatting>
  <conditionalFormatting sqref="U22 U24">
    <cfRule type="containsText" dxfId="336" priority="300" operator="containsText" text="Tote">
      <formula>NOT(ISERROR(SEARCH("Tote",U22)))</formula>
    </cfRule>
  </conditionalFormatting>
  <conditionalFormatting sqref="X31">
    <cfRule type="containsText" dxfId="335" priority="298" operator="containsText" text="Tote">
      <formula>NOT(ISERROR(SEARCH("Tote",X31)))</formula>
    </cfRule>
  </conditionalFormatting>
  <conditionalFormatting sqref="X31">
    <cfRule type="containsText" dxfId="334" priority="299" operator="containsText" text="Tote">
      <formula>NOT(ISERROR(SEARCH("Tote",X31)))</formula>
    </cfRule>
  </conditionalFormatting>
  <conditionalFormatting sqref="X30">
    <cfRule type="containsText" dxfId="333" priority="297" operator="containsText" text="Tote">
      <formula>NOT(ISERROR(SEARCH("Tote",X30)))</formula>
    </cfRule>
  </conditionalFormatting>
  <conditionalFormatting sqref="X11:X22 X24:X25 X27 X29">
    <cfRule type="containsText" dxfId="332" priority="296" operator="containsText" text="Tote">
      <formula>NOT(ISERROR(SEARCH("Tote",X11)))</formula>
    </cfRule>
  </conditionalFormatting>
  <conditionalFormatting sqref="X22 X24">
    <cfRule type="containsText" dxfId="331" priority="295" operator="containsText" text="Tote">
      <formula>NOT(ISERROR(SEARCH("Tote",X22)))</formula>
    </cfRule>
  </conditionalFormatting>
  <conditionalFormatting sqref="AD31">
    <cfRule type="containsText" dxfId="330" priority="288" operator="containsText" text="Tote">
      <formula>NOT(ISERROR(SEARCH("Tote",AD31)))</formula>
    </cfRule>
  </conditionalFormatting>
  <conditionalFormatting sqref="AD31">
    <cfRule type="containsText" dxfId="329" priority="289" operator="containsText" text="Tote">
      <formula>NOT(ISERROR(SEARCH("Tote",AD31)))</formula>
    </cfRule>
  </conditionalFormatting>
  <conditionalFormatting sqref="AD30">
    <cfRule type="containsText" dxfId="328" priority="287" operator="containsText" text="Tote">
      <formula>NOT(ISERROR(SEARCH("Tote",AD30)))</formula>
    </cfRule>
  </conditionalFormatting>
  <conditionalFormatting sqref="AD11:AD22 AD24:AD25 AD27 AD29">
    <cfRule type="containsText" dxfId="327" priority="286" operator="containsText" text="Tote">
      <formula>NOT(ISERROR(SEARCH("Tote",AD11)))</formula>
    </cfRule>
  </conditionalFormatting>
  <conditionalFormatting sqref="AD22 AD24">
    <cfRule type="containsText" dxfId="326" priority="285" operator="containsText" text="Tote">
      <formula>NOT(ISERROR(SEARCH("Tote",AD22)))</formula>
    </cfRule>
  </conditionalFormatting>
  <conditionalFormatting sqref="AG31">
    <cfRule type="containsText" dxfId="325" priority="283" operator="containsText" text="Tote">
      <formula>NOT(ISERROR(SEARCH("Tote",AG31)))</formula>
    </cfRule>
  </conditionalFormatting>
  <conditionalFormatting sqref="AG31">
    <cfRule type="containsText" dxfId="324" priority="284" operator="containsText" text="Tote">
      <formula>NOT(ISERROR(SEARCH("Tote",AG31)))</formula>
    </cfRule>
  </conditionalFormatting>
  <conditionalFormatting sqref="AG30">
    <cfRule type="containsText" dxfId="323" priority="282" operator="containsText" text="Tote">
      <formula>NOT(ISERROR(SEARCH("Tote",AG30)))</formula>
    </cfRule>
  </conditionalFormatting>
  <conditionalFormatting sqref="AG11:AG22 AG24:AG25 AG27 AG29">
    <cfRule type="containsText" dxfId="322" priority="281" operator="containsText" text="Tote">
      <formula>NOT(ISERROR(SEARCH("Tote",AG11)))</formula>
    </cfRule>
  </conditionalFormatting>
  <conditionalFormatting sqref="AG22 AG24">
    <cfRule type="containsText" dxfId="321" priority="280" operator="containsText" text="Tote">
      <formula>NOT(ISERROR(SEARCH("Tote",AG22)))</formula>
    </cfRule>
  </conditionalFormatting>
  <conditionalFormatting sqref="AM31">
    <cfRule type="containsText" dxfId="320" priority="273" operator="containsText" text="Tote">
      <formula>NOT(ISERROR(SEARCH("Tote",AM31)))</formula>
    </cfRule>
  </conditionalFormatting>
  <conditionalFormatting sqref="AM31">
    <cfRule type="containsText" dxfId="319" priority="274" operator="containsText" text="Tote">
      <formula>NOT(ISERROR(SEARCH("Tote",AM31)))</formula>
    </cfRule>
  </conditionalFormatting>
  <conditionalFormatting sqref="AM30">
    <cfRule type="containsText" dxfId="318" priority="272" operator="containsText" text="Tote">
      <formula>NOT(ISERROR(SEARCH("Tote",AM30)))</formula>
    </cfRule>
  </conditionalFormatting>
  <conditionalFormatting sqref="AM11:AM22 AM24:AM25 AM27 AM29">
    <cfRule type="containsText" dxfId="317" priority="271" operator="containsText" text="Tote">
      <formula>NOT(ISERROR(SEARCH("Tote",AM11)))</formula>
    </cfRule>
  </conditionalFormatting>
  <conditionalFormatting sqref="AM22 AM24">
    <cfRule type="containsText" dxfId="316" priority="270" operator="containsText" text="Tote">
      <formula>NOT(ISERROR(SEARCH("Tote",AM22)))</formula>
    </cfRule>
  </conditionalFormatting>
  <conditionalFormatting sqref="AP31">
    <cfRule type="containsText" dxfId="315" priority="268" operator="containsText" text="Tote">
      <formula>NOT(ISERROR(SEARCH("Tote",AP31)))</formula>
    </cfRule>
  </conditionalFormatting>
  <conditionalFormatting sqref="AP31">
    <cfRule type="containsText" dxfId="314" priority="269" operator="containsText" text="Tote">
      <formula>NOT(ISERROR(SEARCH("Tote",AP31)))</formula>
    </cfRule>
  </conditionalFormatting>
  <conditionalFormatting sqref="AP30">
    <cfRule type="containsText" dxfId="313" priority="267" operator="containsText" text="Tote">
      <formula>NOT(ISERROR(SEARCH("Tote",AP30)))</formula>
    </cfRule>
  </conditionalFormatting>
  <conditionalFormatting sqref="AP11:AP22 AP25 AP27 AP29">
    <cfRule type="containsText" dxfId="312" priority="266" operator="containsText" text="Tote">
      <formula>NOT(ISERROR(SEARCH("Tote",AP11)))</formula>
    </cfRule>
  </conditionalFormatting>
  <conditionalFormatting sqref="AP22">
    <cfRule type="containsText" dxfId="311" priority="265" operator="containsText" text="Tote">
      <formula>NOT(ISERROR(SEARCH("Tote",AP22)))</formula>
    </cfRule>
  </conditionalFormatting>
  <conditionalFormatting sqref="AS31">
    <cfRule type="containsText" dxfId="310" priority="263" operator="containsText" text="Tote">
      <formula>NOT(ISERROR(SEARCH("Tote",AS31)))</formula>
    </cfRule>
  </conditionalFormatting>
  <conditionalFormatting sqref="AS31">
    <cfRule type="containsText" dxfId="309" priority="264" operator="containsText" text="Tote">
      <formula>NOT(ISERROR(SEARCH("Tote",AS31)))</formula>
    </cfRule>
  </conditionalFormatting>
  <conditionalFormatting sqref="AS30">
    <cfRule type="containsText" dxfId="308" priority="262" operator="containsText" text="Tote">
      <formula>NOT(ISERROR(SEARCH("Tote",AS30)))</formula>
    </cfRule>
  </conditionalFormatting>
  <conditionalFormatting sqref="AS11:AS22 AS24:AS25 AS27 AS29">
    <cfRule type="containsText" dxfId="307" priority="261" operator="containsText" text="Tote">
      <formula>NOT(ISERROR(SEARCH("Tote",AS11)))</formula>
    </cfRule>
  </conditionalFormatting>
  <conditionalFormatting sqref="AS22 AS24">
    <cfRule type="containsText" dxfId="306" priority="260" operator="containsText" text="Tote">
      <formula>NOT(ISERROR(SEARCH("Tote",AS22)))</formula>
    </cfRule>
  </conditionalFormatting>
  <conditionalFormatting sqref="AV31">
    <cfRule type="containsText" dxfId="305" priority="258" operator="containsText" text="Tote">
      <formula>NOT(ISERROR(SEARCH("Tote",AV31)))</formula>
    </cfRule>
  </conditionalFormatting>
  <conditionalFormatting sqref="AV31">
    <cfRule type="containsText" dxfId="304" priority="259" operator="containsText" text="Tote">
      <formula>NOT(ISERROR(SEARCH("Tote",AV31)))</formula>
    </cfRule>
  </conditionalFormatting>
  <conditionalFormatting sqref="AV30">
    <cfRule type="containsText" dxfId="303" priority="257" operator="containsText" text="Tote">
      <formula>NOT(ISERROR(SEARCH("Tote",AV30)))</formula>
    </cfRule>
  </conditionalFormatting>
  <conditionalFormatting sqref="AV11:AV22 AV24:AV25 AV27 AV29">
    <cfRule type="containsText" dxfId="302" priority="256" operator="containsText" text="Tote">
      <formula>NOT(ISERROR(SEARCH("Tote",AV11)))</formula>
    </cfRule>
  </conditionalFormatting>
  <conditionalFormatting sqref="AV22 AV24">
    <cfRule type="containsText" dxfId="301" priority="255" operator="containsText" text="Tote">
      <formula>NOT(ISERROR(SEARCH("Tote",AV22)))</formula>
    </cfRule>
  </conditionalFormatting>
  <conditionalFormatting sqref="AY31">
    <cfRule type="containsText" dxfId="300" priority="253" operator="containsText" text="Tote">
      <formula>NOT(ISERROR(SEARCH("Tote",AY31)))</formula>
    </cfRule>
  </conditionalFormatting>
  <conditionalFormatting sqref="AY31">
    <cfRule type="containsText" dxfId="299" priority="254" operator="containsText" text="Tote">
      <formula>NOT(ISERROR(SEARCH("Tote",AY31)))</formula>
    </cfRule>
  </conditionalFormatting>
  <conditionalFormatting sqref="AY30">
    <cfRule type="containsText" dxfId="298" priority="252" operator="containsText" text="Tote">
      <formula>NOT(ISERROR(SEARCH("Tote",AY30)))</formula>
    </cfRule>
  </conditionalFormatting>
  <conditionalFormatting sqref="AY11:AY22 AY24:AY25 AY27 AY29">
    <cfRule type="containsText" dxfId="297" priority="251" operator="containsText" text="Tote">
      <formula>NOT(ISERROR(SEARCH("Tote",AY11)))</formula>
    </cfRule>
  </conditionalFormatting>
  <conditionalFormatting sqref="AY22 AY24">
    <cfRule type="containsText" dxfId="296" priority="250" operator="containsText" text="Tote">
      <formula>NOT(ISERROR(SEARCH("Tote",AY22)))</formula>
    </cfRule>
  </conditionalFormatting>
  <conditionalFormatting sqref="BN31">
    <cfRule type="containsText" dxfId="295" priority="248" operator="containsText" text="Tote">
      <formula>NOT(ISERROR(SEARCH("Tote",BN31)))</formula>
    </cfRule>
  </conditionalFormatting>
  <conditionalFormatting sqref="BN31">
    <cfRule type="containsText" dxfId="294" priority="249" operator="containsText" text="Tote">
      <formula>NOT(ISERROR(SEARCH("Tote",BN31)))</formula>
    </cfRule>
  </conditionalFormatting>
  <conditionalFormatting sqref="BN30">
    <cfRule type="containsText" dxfId="293" priority="247" operator="containsText" text="Tote">
      <formula>NOT(ISERROR(SEARCH("Tote",BN30)))</formula>
    </cfRule>
  </conditionalFormatting>
  <conditionalFormatting sqref="BN11:BN22 BN24:BN25 BN27 BN29">
    <cfRule type="containsText" dxfId="292" priority="246" operator="containsText" text="Tote">
      <formula>NOT(ISERROR(SEARCH("Tote",BN11)))</formula>
    </cfRule>
  </conditionalFormatting>
  <conditionalFormatting sqref="BN22 BN24">
    <cfRule type="containsText" dxfId="291" priority="245" operator="containsText" text="Tote">
      <formula>NOT(ISERROR(SEARCH("Tote",BN22)))</formula>
    </cfRule>
  </conditionalFormatting>
  <conditionalFormatting sqref="BQ31">
    <cfRule type="containsText" dxfId="290" priority="243" operator="containsText" text="Tote">
      <formula>NOT(ISERROR(SEARCH("Tote",BQ31)))</formula>
    </cfRule>
  </conditionalFormatting>
  <conditionalFormatting sqref="BQ31">
    <cfRule type="containsText" dxfId="289" priority="244" operator="containsText" text="Tote">
      <formula>NOT(ISERROR(SEARCH("Tote",BQ31)))</formula>
    </cfRule>
  </conditionalFormatting>
  <conditionalFormatting sqref="BQ30">
    <cfRule type="containsText" dxfId="288" priority="242" operator="containsText" text="Tote">
      <formula>NOT(ISERROR(SEARCH("Tote",BQ30)))</formula>
    </cfRule>
  </conditionalFormatting>
  <conditionalFormatting sqref="BQ11:BQ22 BQ24:BQ25 BQ27 BQ29">
    <cfRule type="containsText" dxfId="287" priority="241" operator="containsText" text="Tote">
      <formula>NOT(ISERROR(SEARCH("Tote",BQ11)))</formula>
    </cfRule>
  </conditionalFormatting>
  <conditionalFormatting sqref="BQ22 BQ24">
    <cfRule type="containsText" dxfId="286" priority="240" operator="containsText" text="Tote">
      <formula>NOT(ISERROR(SEARCH("Tote",BQ22)))</formula>
    </cfRule>
  </conditionalFormatting>
  <conditionalFormatting sqref="BT31">
    <cfRule type="containsText" dxfId="285" priority="238" operator="containsText" text="Tote">
      <formula>NOT(ISERROR(SEARCH("Tote",BT31)))</formula>
    </cfRule>
  </conditionalFormatting>
  <conditionalFormatting sqref="BT31">
    <cfRule type="containsText" dxfId="284" priority="239" operator="containsText" text="Tote">
      <formula>NOT(ISERROR(SEARCH("Tote",BT31)))</formula>
    </cfRule>
  </conditionalFormatting>
  <conditionalFormatting sqref="BT30">
    <cfRule type="containsText" dxfId="283" priority="237" operator="containsText" text="Tote">
      <formula>NOT(ISERROR(SEARCH("Tote",BT30)))</formula>
    </cfRule>
  </conditionalFormatting>
  <conditionalFormatting sqref="BT11:BT22 BT24:BT25 BT27 BT29">
    <cfRule type="containsText" dxfId="282" priority="236" operator="containsText" text="Tote">
      <formula>NOT(ISERROR(SEARCH("Tote",BT11)))</formula>
    </cfRule>
  </conditionalFormatting>
  <conditionalFormatting sqref="BT22 BT24">
    <cfRule type="containsText" dxfId="281" priority="235" operator="containsText" text="Tote">
      <formula>NOT(ISERROR(SEARCH("Tote",BT22)))</formula>
    </cfRule>
  </conditionalFormatting>
  <conditionalFormatting sqref="BW31">
    <cfRule type="containsText" dxfId="280" priority="233" operator="containsText" text="Tote">
      <formula>NOT(ISERROR(SEARCH("Tote",BW31)))</formula>
    </cfRule>
  </conditionalFormatting>
  <conditionalFormatting sqref="BW31">
    <cfRule type="containsText" dxfId="279" priority="234" operator="containsText" text="Tote">
      <formula>NOT(ISERROR(SEARCH("Tote",BW31)))</formula>
    </cfRule>
  </conditionalFormatting>
  <conditionalFormatting sqref="BW30">
    <cfRule type="containsText" dxfId="278" priority="232" operator="containsText" text="Tote">
      <formula>NOT(ISERROR(SEARCH("Tote",BW30)))</formula>
    </cfRule>
  </conditionalFormatting>
  <conditionalFormatting sqref="BW11:BW22 BW24:BW25 BW27 BW29">
    <cfRule type="containsText" dxfId="277" priority="231" operator="containsText" text="Tote">
      <formula>NOT(ISERROR(SEARCH("Tote",BW11)))</formula>
    </cfRule>
  </conditionalFormatting>
  <conditionalFormatting sqref="BW22 BW24">
    <cfRule type="containsText" dxfId="276" priority="230" operator="containsText" text="Tote">
      <formula>NOT(ISERROR(SEARCH("Tote",BW22)))</formula>
    </cfRule>
  </conditionalFormatting>
  <conditionalFormatting sqref="BZ31">
    <cfRule type="containsText" dxfId="275" priority="228" operator="containsText" text="Tote">
      <formula>NOT(ISERROR(SEARCH("Tote",BZ31)))</formula>
    </cfRule>
  </conditionalFormatting>
  <conditionalFormatting sqref="BZ31">
    <cfRule type="containsText" dxfId="274" priority="229" operator="containsText" text="Tote">
      <formula>NOT(ISERROR(SEARCH("Tote",BZ31)))</formula>
    </cfRule>
  </conditionalFormatting>
  <conditionalFormatting sqref="BZ30">
    <cfRule type="containsText" dxfId="273" priority="227" operator="containsText" text="Tote">
      <formula>NOT(ISERROR(SEARCH("Tote",BZ30)))</formula>
    </cfRule>
  </conditionalFormatting>
  <conditionalFormatting sqref="BZ11:BZ22 BZ24:BZ25 BZ27 BZ29">
    <cfRule type="containsText" dxfId="272" priority="226" operator="containsText" text="Tote">
      <formula>NOT(ISERROR(SEARCH("Tote",BZ11)))</formula>
    </cfRule>
  </conditionalFormatting>
  <conditionalFormatting sqref="BZ22 BZ24">
    <cfRule type="containsText" dxfId="271" priority="225" operator="containsText" text="Tote">
      <formula>NOT(ISERROR(SEARCH("Tote",BZ22)))</formula>
    </cfRule>
  </conditionalFormatting>
  <conditionalFormatting sqref="AJ31">
    <cfRule type="containsText" dxfId="270" priority="223" operator="containsText" text="Tote">
      <formula>NOT(ISERROR(SEARCH("Tote",AJ31)))</formula>
    </cfRule>
  </conditionalFormatting>
  <conditionalFormatting sqref="AJ31">
    <cfRule type="containsText" dxfId="269" priority="224" operator="containsText" text="Tote">
      <formula>NOT(ISERROR(SEARCH("Tote",AJ31)))</formula>
    </cfRule>
  </conditionalFormatting>
  <conditionalFormatting sqref="AJ30">
    <cfRule type="containsText" dxfId="268" priority="222" operator="containsText" text="Tote">
      <formula>NOT(ISERROR(SEARCH("Tote",AJ30)))</formula>
    </cfRule>
  </conditionalFormatting>
  <conditionalFormatting sqref="AJ11:AJ22 AJ24:AJ25 AJ27 AJ29">
    <cfRule type="containsText" dxfId="267" priority="221" operator="containsText" text="Tote">
      <formula>NOT(ISERROR(SEARCH("Tote",AJ11)))</formula>
    </cfRule>
  </conditionalFormatting>
  <conditionalFormatting sqref="AJ22 AJ24">
    <cfRule type="containsText" dxfId="266" priority="220" operator="containsText" text="Tote">
      <formula>NOT(ISERROR(SEARCH("Tote",AJ22)))</formula>
    </cfRule>
  </conditionalFormatting>
  <conditionalFormatting sqref="U11:U20">
    <cfRule type="containsText" dxfId="265" priority="219" operator="containsText" text="Tote">
      <formula>NOT(ISERROR(SEARCH("Tote",U11)))</formula>
    </cfRule>
  </conditionalFormatting>
  <conditionalFormatting sqref="I23">
    <cfRule type="containsText" dxfId="264" priority="218" operator="containsText" text="Tote">
      <formula>NOT(ISERROR(SEARCH("Tote",I23)))</formula>
    </cfRule>
  </conditionalFormatting>
  <conditionalFormatting sqref="L23">
    <cfRule type="containsText" dxfId="263" priority="216" operator="containsText" text="Tote">
      <formula>NOT(ISERROR(SEARCH("Tote",L23)))</formula>
    </cfRule>
  </conditionalFormatting>
  <conditionalFormatting sqref="F23">
    <cfRule type="containsText" dxfId="262" priority="215" operator="containsText" text="Tote">
      <formula>NOT(ISERROR(SEARCH("Tote",F23)))</formula>
    </cfRule>
  </conditionalFormatting>
  <conditionalFormatting sqref="O23">
    <cfRule type="containsText" dxfId="261" priority="214" operator="containsText" text="Tote">
      <formula>NOT(ISERROR(SEARCH("Tote",O23)))</formula>
    </cfRule>
  </conditionalFormatting>
  <conditionalFormatting sqref="R23">
    <cfRule type="containsText" dxfId="260" priority="213" operator="containsText" text="Tote">
      <formula>NOT(ISERROR(SEARCH("Tote",R23)))</formula>
    </cfRule>
  </conditionalFormatting>
  <conditionalFormatting sqref="U23">
    <cfRule type="containsText" dxfId="259" priority="212" operator="containsText" text="Tote">
      <formula>NOT(ISERROR(SEARCH("Tote",U23)))</formula>
    </cfRule>
  </conditionalFormatting>
  <conditionalFormatting sqref="X23">
    <cfRule type="containsText" dxfId="258" priority="211" operator="containsText" text="Tote">
      <formula>NOT(ISERROR(SEARCH("Tote",X23)))</formula>
    </cfRule>
  </conditionalFormatting>
  <conditionalFormatting sqref="AD23">
    <cfRule type="containsText" dxfId="257" priority="209" operator="containsText" text="Tote">
      <formula>NOT(ISERROR(SEARCH("Tote",AD23)))</formula>
    </cfRule>
  </conditionalFormatting>
  <conditionalFormatting sqref="AG23">
    <cfRule type="containsText" dxfId="256" priority="208" operator="containsText" text="Tote">
      <formula>NOT(ISERROR(SEARCH("Tote",AG23)))</formula>
    </cfRule>
  </conditionalFormatting>
  <conditionalFormatting sqref="AM23">
    <cfRule type="containsText" dxfId="255" priority="207" operator="containsText" text="Tote">
      <formula>NOT(ISERROR(SEARCH("Tote",AM23)))</formula>
    </cfRule>
  </conditionalFormatting>
  <conditionalFormatting sqref="BN23">
    <cfRule type="containsText" dxfId="254" priority="202" operator="containsText" text="Tote">
      <formula>NOT(ISERROR(SEARCH("Tote",BN23)))</formula>
    </cfRule>
  </conditionalFormatting>
  <conditionalFormatting sqref="AS23">
    <cfRule type="containsText" dxfId="253" priority="205" operator="containsText" text="Tote">
      <formula>NOT(ISERROR(SEARCH("Tote",AS23)))</formula>
    </cfRule>
  </conditionalFormatting>
  <conditionalFormatting sqref="AV23">
    <cfRule type="containsText" dxfId="252" priority="204" operator="containsText" text="Tote">
      <formula>NOT(ISERROR(SEARCH("Tote",AV23)))</formula>
    </cfRule>
  </conditionalFormatting>
  <conditionalFormatting sqref="AY23">
    <cfRule type="containsText" dxfId="251" priority="203" operator="containsText" text="Tote">
      <formula>NOT(ISERROR(SEARCH("Tote",AY23)))</formula>
    </cfRule>
  </conditionalFormatting>
  <conditionalFormatting sqref="BQ23">
    <cfRule type="containsText" dxfId="250" priority="201" operator="containsText" text="Tote">
      <formula>NOT(ISERROR(SEARCH("Tote",BQ23)))</formula>
    </cfRule>
  </conditionalFormatting>
  <conditionalFormatting sqref="BT23">
    <cfRule type="containsText" dxfId="249" priority="200" operator="containsText" text="Tote">
      <formula>NOT(ISERROR(SEARCH("Tote",BT23)))</formula>
    </cfRule>
  </conditionalFormatting>
  <conditionalFormatting sqref="BW23">
    <cfRule type="containsText" dxfId="248" priority="199" operator="containsText" text="Tote">
      <formula>NOT(ISERROR(SEARCH("Tote",BW23)))</formula>
    </cfRule>
  </conditionalFormatting>
  <conditionalFormatting sqref="BZ23">
    <cfRule type="containsText" dxfId="247" priority="198" operator="containsText" text="Tote">
      <formula>NOT(ISERROR(SEARCH("Tote",BZ23)))</formula>
    </cfRule>
  </conditionalFormatting>
  <conditionalFormatting sqref="AJ23">
    <cfRule type="containsText" dxfId="246" priority="197" operator="containsText" text="Tote">
      <formula>NOT(ISERROR(SEARCH("Tote",AJ23)))</formula>
    </cfRule>
  </conditionalFormatting>
  <conditionalFormatting sqref="AP23:AP24">
    <cfRule type="containsText" dxfId="245" priority="194" operator="containsText" text="Tote">
      <formula>NOT(ISERROR(SEARCH("Tote",AP23)))</formula>
    </cfRule>
  </conditionalFormatting>
  <conditionalFormatting sqref="AP24">
    <cfRule type="containsText" dxfId="244" priority="193" operator="containsText" text="Tote">
      <formula>NOT(ISERROR(SEARCH("Tote",AP24)))</formula>
    </cfRule>
  </conditionalFormatting>
  <conditionalFormatting sqref="BC38">
    <cfRule type="containsText" dxfId="243" priority="187" operator="containsText" text="Draw">
      <formula>NOT(ISERROR(SEARCH("Draw",BC38)))</formula>
    </cfRule>
    <cfRule type="containsText" dxfId="242" priority="188" operator="containsText" text="Loss">
      <formula>NOT(ISERROR(SEARCH("Loss",BC38)))</formula>
    </cfRule>
    <cfRule type="containsText" dxfId="241" priority="189" operator="containsText" text="Win">
      <formula>NOT(ISERROR(SEARCH("Win",BC38)))</formula>
    </cfRule>
  </conditionalFormatting>
  <conditionalFormatting sqref="BI38">
    <cfRule type="containsText" dxfId="240" priority="184" operator="containsText" text="Draw">
      <formula>NOT(ISERROR(SEARCH("Draw",BI38)))</formula>
    </cfRule>
    <cfRule type="containsText" dxfId="239" priority="185" operator="containsText" text="Loss">
      <formula>NOT(ISERROR(SEARCH("Loss",BI38)))</formula>
    </cfRule>
    <cfRule type="containsText" dxfId="238" priority="186" operator="containsText" text="Win">
      <formula>NOT(ISERROR(SEARCH("Win",BI38)))</formula>
    </cfRule>
  </conditionalFormatting>
  <conditionalFormatting sqref="BL38">
    <cfRule type="containsText" dxfId="237" priority="181" operator="containsText" text="Draw">
      <formula>NOT(ISERROR(SEARCH("Draw",BL38)))</formula>
    </cfRule>
    <cfRule type="containsText" dxfId="236" priority="182" operator="containsText" text="Loss">
      <formula>NOT(ISERROR(SEARCH("Loss",BL38)))</formula>
    </cfRule>
    <cfRule type="containsText" dxfId="235" priority="183" operator="containsText" text="Win">
      <formula>NOT(ISERROR(SEARCH("Win",BL38)))</formula>
    </cfRule>
  </conditionalFormatting>
  <conditionalFormatting sqref="BH31">
    <cfRule type="containsText" dxfId="234" priority="169" operator="containsText" text="Tote">
      <formula>NOT(ISERROR(SEARCH("Tote",BH31)))</formula>
    </cfRule>
  </conditionalFormatting>
  <conditionalFormatting sqref="BH31">
    <cfRule type="containsText" dxfId="233" priority="170" operator="containsText" text="Tote">
      <formula>NOT(ISERROR(SEARCH("Tote",BH31)))</formula>
    </cfRule>
  </conditionalFormatting>
  <conditionalFormatting sqref="BH30">
    <cfRule type="containsText" dxfId="232" priority="168" operator="containsText" text="Tote">
      <formula>NOT(ISERROR(SEARCH("Tote",BH30)))</formula>
    </cfRule>
  </conditionalFormatting>
  <conditionalFormatting sqref="BH11:BH22 BH24:BH25 BH27 BH29">
    <cfRule type="containsText" dxfId="231" priority="167" operator="containsText" text="Tote">
      <formula>NOT(ISERROR(SEARCH("Tote",BH11)))</formula>
    </cfRule>
  </conditionalFormatting>
  <conditionalFormatting sqref="BH22 BH24">
    <cfRule type="containsText" dxfId="230" priority="166" operator="containsText" text="Tote">
      <formula>NOT(ISERROR(SEARCH("Tote",BH22)))</formula>
    </cfRule>
  </conditionalFormatting>
  <conditionalFormatting sqref="BK31">
    <cfRule type="containsText" dxfId="229" priority="164" operator="containsText" text="Tote">
      <formula>NOT(ISERROR(SEARCH("Tote",BK31)))</formula>
    </cfRule>
  </conditionalFormatting>
  <conditionalFormatting sqref="BK31">
    <cfRule type="containsText" dxfId="228" priority="165" operator="containsText" text="Tote">
      <formula>NOT(ISERROR(SEARCH("Tote",BK31)))</formula>
    </cfRule>
  </conditionalFormatting>
  <conditionalFormatting sqref="BK30">
    <cfRule type="containsText" dxfId="227" priority="163" operator="containsText" text="Tote">
      <formula>NOT(ISERROR(SEARCH("Tote",BK30)))</formula>
    </cfRule>
  </conditionalFormatting>
  <conditionalFormatting sqref="BK24:BK25 BK27 BK29">
    <cfRule type="containsText" dxfId="226" priority="162" operator="containsText" text="Tote">
      <formula>NOT(ISERROR(SEARCH("Tote",BK24)))</formula>
    </cfRule>
  </conditionalFormatting>
  <conditionalFormatting sqref="BK24">
    <cfRule type="containsText" dxfId="225" priority="161" operator="containsText" text="Tote">
      <formula>NOT(ISERROR(SEARCH("Tote",BK24)))</formula>
    </cfRule>
  </conditionalFormatting>
  <conditionalFormatting sqref="BH23">
    <cfRule type="containsText" dxfId="224" priority="158" operator="containsText" text="Tote">
      <formula>NOT(ISERROR(SEARCH("Tote",BH23)))</formula>
    </cfRule>
  </conditionalFormatting>
  <conditionalFormatting sqref="BK23">
    <cfRule type="containsText" dxfId="223" priority="157" operator="containsText" text="Tote">
      <formula>NOT(ISERROR(SEARCH("Tote",BK23)))</formula>
    </cfRule>
  </conditionalFormatting>
  <conditionalFormatting sqref="BK11:BK22">
    <cfRule type="containsText" dxfId="222" priority="156" operator="containsText" text="Tote">
      <formula>NOT(ISERROR(SEARCH("Tote",BK11)))</formula>
    </cfRule>
  </conditionalFormatting>
  <conditionalFormatting sqref="BK22">
    <cfRule type="containsText" dxfId="221" priority="155" operator="containsText" text="Tote">
      <formula>NOT(ISERROR(SEARCH("Tote",BK22)))</formula>
    </cfRule>
  </conditionalFormatting>
  <conditionalFormatting sqref="I26">
    <cfRule type="containsText" dxfId="220" priority="154" operator="containsText" text="Tote">
      <formula>NOT(ISERROR(SEARCH("Tote",I26)))</formula>
    </cfRule>
  </conditionalFormatting>
  <conditionalFormatting sqref="I26">
    <cfRule type="containsText" dxfId="219" priority="153" operator="containsText" text="Tote">
      <formula>NOT(ISERROR(SEARCH("Tote",I26)))</formula>
    </cfRule>
  </conditionalFormatting>
  <conditionalFormatting sqref="L26">
    <cfRule type="containsText" dxfId="218" priority="150" operator="containsText" text="Tote">
      <formula>NOT(ISERROR(SEARCH("Tote",L26)))</formula>
    </cfRule>
  </conditionalFormatting>
  <conditionalFormatting sqref="L26">
    <cfRule type="containsText" dxfId="217" priority="149" operator="containsText" text="Tote">
      <formula>NOT(ISERROR(SEARCH("Tote",L26)))</formula>
    </cfRule>
  </conditionalFormatting>
  <conditionalFormatting sqref="F26">
    <cfRule type="containsText" dxfId="216" priority="148" operator="containsText" text="Tote">
      <formula>NOT(ISERROR(SEARCH("Tote",F26)))</formula>
    </cfRule>
  </conditionalFormatting>
  <conditionalFormatting sqref="F26">
    <cfRule type="containsText" dxfId="215" priority="147" operator="containsText" text="Tote">
      <formula>NOT(ISERROR(SEARCH("Tote",F26)))</formula>
    </cfRule>
  </conditionalFormatting>
  <conditionalFormatting sqref="O26">
    <cfRule type="containsText" dxfId="214" priority="146" operator="containsText" text="Tote">
      <formula>NOT(ISERROR(SEARCH("Tote",O26)))</formula>
    </cfRule>
  </conditionalFormatting>
  <conditionalFormatting sqref="O26">
    <cfRule type="containsText" dxfId="213" priority="145" operator="containsText" text="Tote">
      <formula>NOT(ISERROR(SEARCH("Tote",O26)))</formula>
    </cfRule>
  </conditionalFormatting>
  <conditionalFormatting sqref="R26">
    <cfRule type="containsText" dxfId="212" priority="144" operator="containsText" text="Tote">
      <formula>NOT(ISERROR(SEARCH("Tote",R26)))</formula>
    </cfRule>
  </conditionalFormatting>
  <conditionalFormatting sqref="R26">
    <cfRule type="containsText" dxfId="211" priority="143" operator="containsText" text="Tote">
      <formula>NOT(ISERROR(SEARCH("Tote",R26)))</formula>
    </cfRule>
  </conditionalFormatting>
  <conditionalFormatting sqref="U26">
    <cfRule type="containsText" dxfId="210" priority="142" operator="containsText" text="Tote">
      <formula>NOT(ISERROR(SEARCH("Tote",U26)))</formula>
    </cfRule>
  </conditionalFormatting>
  <conditionalFormatting sqref="U26">
    <cfRule type="containsText" dxfId="209" priority="141" operator="containsText" text="Tote">
      <formula>NOT(ISERROR(SEARCH("Tote",U26)))</formula>
    </cfRule>
  </conditionalFormatting>
  <conditionalFormatting sqref="X26">
    <cfRule type="containsText" dxfId="208" priority="140" operator="containsText" text="Tote">
      <formula>NOT(ISERROR(SEARCH("Tote",X26)))</formula>
    </cfRule>
  </conditionalFormatting>
  <conditionalFormatting sqref="X26">
    <cfRule type="containsText" dxfId="207" priority="139" operator="containsText" text="Tote">
      <formula>NOT(ISERROR(SEARCH("Tote",X26)))</formula>
    </cfRule>
  </conditionalFormatting>
  <conditionalFormatting sqref="AD26">
    <cfRule type="containsText" dxfId="206" priority="136" operator="containsText" text="Tote">
      <formula>NOT(ISERROR(SEARCH("Tote",AD26)))</formula>
    </cfRule>
  </conditionalFormatting>
  <conditionalFormatting sqref="AD26">
    <cfRule type="containsText" dxfId="205" priority="135" operator="containsText" text="Tote">
      <formula>NOT(ISERROR(SEARCH("Tote",AD26)))</formula>
    </cfRule>
  </conditionalFormatting>
  <conditionalFormatting sqref="AG26">
    <cfRule type="containsText" dxfId="204" priority="134" operator="containsText" text="Tote">
      <formula>NOT(ISERROR(SEARCH("Tote",AG26)))</formula>
    </cfRule>
  </conditionalFormatting>
  <conditionalFormatting sqref="AG26">
    <cfRule type="containsText" dxfId="203" priority="133" operator="containsText" text="Tote">
      <formula>NOT(ISERROR(SEARCH("Tote",AG26)))</formula>
    </cfRule>
  </conditionalFormatting>
  <conditionalFormatting sqref="AM26">
    <cfRule type="containsText" dxfId="202" priority="132" operator="containsText" text="Tote">
      <formula>NOT(ISERROR(SEARCH("Tote",AM26)))</formula>
    </cfRule>
  </conditionalFormatting>
  <conditionalFormatting sqref="AM26">
    <cfRule type="containsText" dxfId="201" priority="131" operator="containsText" text="Tote">
      <formula>NOT(ISERROR(SEARCH("Tote",AM26)))</formula>
    </cfRule>
  </conditionalFormatting>
  <conditionalFormatting sqref="AS26">
    <cfRule type="containsText" dxfId="200" priority="130" operator="containsText" text="Tote">
      <formula>NOT(ISERROR(SEARCH("Tote",AS26)))</formula>
    </cfRule>
  </conditionalFormatting>
  <conditionalFormatting sqref="AS26">
    <cfRule type="containsText" dxfId="199" priority="129" operator="containsText" text="Tote">
      <formula>NOT(ISERROR(SEARCH("Tote",AS26)))</formula>
    </cfRule>
  </conditionalFormatting>
  <conditionalFormatting sqref="AV26">
    <cfRule type="containsText" dxfId="198" priority="128" operator="containsText" text="Tote">
      <formula>NOT(ISERROR(SEARCH("Tote",AV26)))</formula>
    </cfRule>
  </conditionalFormatting>
  <conditionalFormatting sqref="AV26">
    <cfRule type="containsText" dxfId="197" priority="127" operator="containsText" text="Tote">
      <formula>NOT(ISERROR(SEARCH("Tote",AV26)))</formula>
    </cfRule>
  </conditionalFormatting>
  <conditionalFormatting sqref="AY26">
    <cfRule type="containsText" dxfId="196" priority="126" operator="containsText" text="Tote">
      <formula>NOT(ISERROR(SEARCH("Tote",AY26)))</formula>
    </cfRule>
  </conditionalFormatting>
  <conditionalFormatting sqref="AY26">
    <cfRule type="containsText" dxfId="195" priority="125" operator="containsText" text="Tote">
      <formula>NOT(ISERROR(SEARCH("Tote",AY26)))</formula>
    </cfRule>
  </conditionalFormatting>
  <conditionalFormatting sqref="BN26">
    <cfRule type="containsText" dxfId="194" priority="124" operator="containsText" text="Tote">
      <formula>NOT(ISERROR(SEARCH("Tote",BN26)))</formula>
    </cfRule>
  </conditionalFormatting>
  <conditionalFormatting sqref="BN26">
    <cfRule type="containsText" dxfId="193" priority="123" operator="containsText" text="Tote">
      <formula>NOT(ISERROR(SEARCH("Tote",BN26)))</formula>
    </cfRule>
  </conditionalFormatting>
  <conditionalFormatting sqref="BQ26">
    <cfRule type="containsText" dxfId="192" priority="122" operator="containsText" text="Tote">
      <formula>NOT(ISERROR(SEARCH("Tote",BQ26)))</formula>
    </cfRule>
  </conditionalFormatting>
  <conditionalFormatting sqref="BQ26">
    <cfRule type="containsText" dxfId="191" priority="121" operator="containsText" text="Tote">
      <formula>NOT(ISERROR(SEARCH("Tote",BQ26)))</formula>
    </cfRule>
  </conditionalFormatting>
  <conditionalFormatting sqref="BT26">
    <cfRule type="containsText" dxfId="190" priority="120" operator="containsText" text="Tote">
      <formula>NOT(ISERROR(SEARCH("Tote",BT26)))</formula>
    </cfRule>
  </conditionalFormatting>
  <conditionalFormatting sqref="BT26">
    <cfRule type="containsText" dxfId="189" priority="119" operator="containsText" text="Tote">
      <formula>NOT(ISERROR(SEARCH("Tote",BT26)))</formula>
    </cfRule>
  </conditionalFormatting>
  <conditionalFormatting sqref="BW26">
    <cfRule type="containsText" dxfId="188" priority="118" operator="containsText" text="Tote">
      <formula>NOT(ISERROR(SEARCH("Tote",BW26)))</formula>
    </cfRule>
  </conditionalFormatting>
  <conditionalFormatting sqref="BW26">
    <cfRule type="containsText" dxfId="187" priority="117" operator="containsText" text="Tote">
      <formula>NOT(ISERROR(SEARCH("Tote",BW26)))</formula>
    </cfRule>
  </conditionalFormatting>
  <conditionalFormatting sqref="BZ26">
    <cfRule type="containsText" dxfId="186" priority="116" operator="containsText" text="Tote">
      <formula>NOT(ISERROR(SEARCH("Tote",BZ26)))</formula>
    </cfRule>
  </conditionalFormatting>
  <conditionalFormatting sqref="BZ26">
    <cfRule type="containsText" dxfId="185" priority="115" operator="containsText" text="Tote">
      <formula>NOT(ISERROR(SEARCH("Tote",BZ26)))</formula>
    </cfRule>
  </conditionalFormatting>
  <conditionalFormatting sqref="AJ26">
    <cfRule type="containsText" dxfId="184" priority="114" operator="containsText" text="Tote">
      <formula>NOT(ISERROR(SEARCH("Tote",AJ26)))</formula>
    </cfRule>
  </conditionalFormatting>
  <conditionalFormatting sqref="AJ26">
    <cfRule type="containsText" dxfId="183" priority="113" operator="containsText" text="Tote">
      <formula>NOT(ISERROR(SEARCH("Tote",AJ26)))</formula>
    </cfRule>
  </conditionalFormatting>
  <conditionalFormatting sqref="AP26">
    <cfRule type="containsText" dxfId="182" priority="112" operator="containsText" text="Tote">
      <formula>NOT(ISERROR(SEARCH("Tote",AP26)))</formula>
    </cfRule>
  </conditionalFormatting>
  <conditionalFormatting sqref="AP26">
    <cfRule type="containsText" dxfId="181" priority="111" operator="containsText" text="Tote">
      <formula>NOT(ISERROR(SEARCH("Tote",AP26)))</formula>
    </cfRule>
  </conditionalFormatting>
  <conditionalFormatting sqref="BH26">
    <cfRule type="containsText" dxfId="180" priority="106" operator="containsText" text="Tote">
      <formula>NOT(ISERROR(SEARCH("Tote",BH26)))</formula>
    </cfRule>
  </conditionalFormatting>
  <conditionalFormatting sqref="BH26">
    <cfRule type="containsText" dxfId="179" priority="105" operator="containsText" text="Tote">
      <formula>NOT(ISERROR(SEARCH("Tote",BH26)))</formula>
    </cfRule>
  </conditionalFormatting>
  <conditionalFormatting sqref="BK26">
    <cfRule type="containsText" dxfId="178" priority="104" operator="containsText" text="Tote">
      <formula>NOT(ISERROR(SEARCH("Tote",BK26)))</formula>
    </cfRule>
  </conditionalFormatting>
  <conditionalFormatting sqref="BK26">
    <cfRule type="containsText" dxfId="177" priority="103" operator="containsText" text="Tote">
      <formula>NOT(ISERROR(SEARCH("Tote",BK26)))</formula>
    </cfRule>
  </conditionalFormatting>
  <conditionalFormatting sqref="I28">
    <cfRule type="containsText" dxfId="176" priority="102" operator="containsText" text="Tote">
      <formula>NOT(ISERROR(SEARCH("Tote",I28)))</formula>
    </cfRule>
  </conditionalFormatting>
  <conditionalFormatting sqref="I28">
    <cfRule type="containsText" dxfId="175" priority="101" operator="containsText" text="Tote">
      <formula>NOT(ISERROR(SEARCH("Tote",I28)))</formula>
    </cfRule>
  </conditionalFormatting>
  <conditionalFormatting sqref="L28">
    <cfRule type="containsText" dxfId="174" priority="98" operator="containsText" text="Tote">
      <formula>NOT(ISERROR(SEARCH("Tote",L28)))</formula>
    </cfRule>
  </conditionalFormatting>
  <conditionalFormatting sqref="L28">
    <cfRule type="containsText" dxfId="173" priority="97" operator="containsText" text="Tote">
      <formula>NOT(ISERROR(SEARCH("Tote",L28)))</formula>
    </cfRule>
  </conditionalFormatting>
  <conditionalFormatting sqref="F28">
    <cfRule type="containsText" dxfId="172" priority="96" operator="containsText" text="Tote">
      <formula>NOT(ISERROR(SEARCH("Tote",F28)))</formula>
    </cfRule>
  </conditionalFormatting>
  <conditionalFormatting sqref="F28">
    <cfRule type="containsText" dxfId="171" priority="95" operator="containsText" text="Tote">
      <formula>NOT(ISERROR(SEARCH("Tote",F28)))</formula>
    </cfRule>
  </conditionalFormatting>
  <conditionalFormatting sqref="O28">
    <cfRule type="containsText" dxfId="170" priority="94" operator="containsText" text="Tote">
      <formula>NOT(ISERROR(SEARCH("Tote",O28)))</formula>
    </cfRule>
  </conditionalFormatting>
  <conditionalFormatting sqref="O28">
    <cfRule type="containsText" dxfId="169" priority="93" operator="containsText" text="Tote">
      <formula>NOT(ISERROR(SEARCH("Tote",O28)))</formula>
    </cfRule>
  </conditionalFormatting>
  <conditionalFormatting sqref="R28">
    <cfRule type="containsText" dxfId="168" priority="92" operator="containsText" text="Tote">
      <formula>NOT(ISERROR(SEARCH("Tote",R28)))</formula>
    </cfRule>
  </conditionalFormatting>
  <conditionalFormatting sqref="R28">
    <cfRule type="containsText" dxfId="167" priority="91" operator="containsText" text="Tote">
      <formula>NOT(ISERROR(SEARCH("Tote",R28)))</formula>
    </cfRule>
  </conditionalFormatting>
  <conditionalFormatting sqref="U28">
    <cfRule type="containsText" dxfId="166" priority="90" operator="containsText" text="Tote">
      <formula>NOT(ISERROR(SEARCH("Tote",U28)))</formula>
    </cfRule>
  </conditionalFormatting>
  <conditionalFormatting sqref="U28">
    <cfRule type="containsText" dxfId="165" priority="89" operator="containsText" text="Tote">
      <formula>NOT(ISERROR(SEARCH("Tote",U28)))</formula>
    </cfRule>
  </conditionalFormatting>
  <conditionalFormatting sqref="X28">
    <cfRule type="containsText" dxfId="164" priority="88" operator="containsText" text="Tote">
      <formula>NOT(ISERROR(SEARCH("Tote",X28)))</formula>
    </cfRule>
  </conditionalFormatting>
  <conditionalFormatting sqref="X28">
    <cfRule type="containsText" dxfId="163" priority="87" operator="containsText" text="Tote">
      <formula>NOT(ISERROR(SEARCH("Tote",X28)))</formula>
    </cfRule>
  </conditionalFormatting>
  <conditionalFormatting sqref="AD28">
    <cfRule type="containsText" dxfId="162" priority="84" operator="containsText" text="Tote">
      <formula>NOT(ISERROR(SEARCH("Tote",AD28)))</formula>
    </cfRule>
  </conditionalFormatting>
  <conditionalFormatting sqref="AD28">
    <cfRule type="containsText" dxfId="161" priority="83" operator="containsText" text="Tote">
      <formula>NOT(ISERROR(SEARCH("Tote",AD28)))</formula>
    </cfRule>
  </conditionalFormatting>
  <conditionalFormatting sqref="AG28">
    <cfRule type="containsText" dxfId="160" priority="82" operator="containsText" text="Tote">
      <formula>NOT(ISERROR(SEARCH("Tote",AG28)))</formula>
    </cfRule>
  </conditionalFormatting>
  <conditionalFormatting sqref="AG28">
    <cfRule type="containsText" dxfId="159" priority="81" operator="containsText" text="Tote">
      <formula>NOT(ISERROR(SEARCH("Tote",AG28)))</formula>
    </cfRule>
  </conditionalFormatting>
  <conditionalFormatting sqref="AM28">
    <cfRule type="containsText" dxfId="158" priority="80" operator="containsText" text="Tote">
      <formula>NOT(ISERROR(SEARCH("Tote",AM28)))</formula>
    </cfRule>
  </conditionalFormatting>
  <conditionalFormatting sqref="AM28">
    <cfRule type="containsText" dxfId="157" priority="79" operator="containsText" text="Tote">
      <formula>NOT(ISERROR(SEARCH("Tote",AM28)))</formula>
    </cfRule>
  </conditionalFormatting>
  <conditionalFormatting sqref="AS28">
    <cfRule type="containsText" dxfId="156" priority="78" operator="containsText" text="Tote">
      <formula>NOT(ISERROR(SEARCH("Tote",AS28)))</formula>
    </cfRule>
  </conditionalFormatting>
  <conditionalFormatting sqref="AS28">
    <cfRule type="containsText" dxfId="155" priority="77" operator="containsText" text="Tote">
      <formula>NOT(ISERROR(SEARCH("Tote",AS28)))</formula>
    </cfRule>
  </conditionalFormatting>
  <conditionalFormatting sqref="AV28">
    <cfRule type="containsText" dxfId="154" priority="76" operator="containsText" text="Tote">
      <formula>NOT(ISERROR(SEARCH("Tote",AV28)))</formula>
    </cfRule>
  </conditionalFormatting>
  <conditionalFormatting sqref="AV28">
    <cfRule type="containsText" dxfId="153" priority="75" operator="containsText" text="Tote">
      <formula>NOT(ISERROR(SEARCH("Tote",AV28)))</formula>
    </cfRule>
  </conditionalFormatting>
  <conditionalFormatting sqref="AY28">
    <cfRule type="containsText" dxfId="152" priority="74" operator="containsText" text="Tote">
      <formula>NOT(ISERROR(SEARCH("Tote",AY28)))</formula>
    </cfRule>
  </conditionalFormatting>
  <conditionalFormatting sqref="AY28">
    <cfRule type="containsText" dxfId="151" priority="73" operator="containsText" text="Tote">
      <formula>NOT(ISERROR(SEARCH("Tote",AY28)))</formula>
    </cfRule>
  </conditionalFormatting>
  <conditionalFormatting sqref="BN28">
    <cfRule type="containsText" dxfId="150" priority="72" operator="containsText" text="Tote">
      <formula>NOT(ISERROR(SEARCH("Tote",BN28)))</formula>
    </cfRule>
  </conditionalFormatting>
  <conditionalFormatting sqref="BN28">
    <cfRule type="containsText" dxfId="149" priority="71" operator="containsText" text="Tote">
      <formula>NOT(ISERROR(SEARCH("Tote",BN28)))</formula>
    </cfRule>
  </conditionalFormatting>
  <conditionalFormatting sqref="BQ28">
    <cfRule type="containsText" dxfId="148" priority="70" operator="containsText" text="Tote">
      <formula>NOT(ISERROR(SEARCH("Tote",BQ28)))</formula>
    </cfRule>
  </conditionalFormatting>
  <conditionalFormatting sqref="BQ28">
    <cfRule type="containsText" dxfId="147" priority="69" operator="containsText" text="Tote">
      <formula>NOT(ISERROR(SEARCH("Tote",BQ28)))</formula>
    </cfRule>
  </conditionalFormatting>
  <conditionalFormatting sqref="BT28">
    <cfRule type="containsText" dxfId="146" priority="68" operator="containsText" text="Tote">
      <formula>NOT(ISERROR(SEARCH("Tote",BT28)))</formula>
    </cfRule>
  </conditionalFormatting>
  <conditionalFormatting sqref="BT28">
    <cfRule type="containsText" dxfId="145" priority="67" operator="containsText" text="Tote">
      <formula>NOT(ISERROR(SEARCH("Tote",BT28)))</formula>
    </cfRule>
  </conditionalFormatting>
  <conditionalFormatting sqref="BW28">
    <cfRule type="containsText" dxfId="144" priority="66" operator="containsText" text="Tote">
      <formula>NOT(ISERROR(SEARCH("Tote",BW28)))</formula>
    </cfRule>
  </conditionalFormatting>
  <conditionalFormatting sqref="BW28">
    <cfRule type="containsText" dxfId="143" priority="65" operator="containsText" text="Tote">
      <formula>NOT(ISERROR(SEARCH("Tote",BW28)))</formula>
    </cfRule>
  </conditionalFormatting>
  <conditionalFormatting sqref="BZ28">
    <cfRule type="containsText" dxfId="142" priority="64" operator="containsText" text="Tote">
      <formula>NOT(ISERROR(SEARCH("Tote",BZ28)))</formula>
    </cfRule>
  </conditionalFormatting>
  <conditionalFormatting sqref="BZ28">
    <cfRule type="containsText" dxfId="141" priority="63" operator="containsText" text="Tote">
      <formula>NOT(ISERROR(SEARCH("Tote",BZ28)))</formula>
    </cfRule>
  </conditionalFormatting>
  <conditionalFormatting sqref="AJ28">
    <cfRule type="containsText" dxfId="140" priority="62" operator="containsText" text="Tote">
      <formula>NOT(ISERROR(SEARCH("Tote",AJ28)))</formula>
    </cfRule>
  </conditionalFormatting>
  <conditionalFormatting sqref="AJ28">
    <cfRule type="containsText" dxfId="139" priority="61" operator="containsText" text="Tote">
      <formula>NOT(ISERROR(SEARCH("Tote",AJ28)))</formula>
    </cfRule>
  </conditionalFormatting>
  <conditionalFormatting sqref="AP28">
    <cfRule type="containsText" dxfId="138" priority="60" operator="containsText" text="Tote">
      <formula>NOT(ISERROR(SEARCH("Tote",AP28)))</formula>
    </cfRule>
  </conditionalFormatting>
  <conditionalFormatting sqref="AP28">
    <cfRule type="containsText" dxfId="137" priority="59" operator="containsText" text="Tote">
      <formula>NOT(ISERROR(SEARCH("Tote",AP28)))</formula>
    </cfRule>
  </conditionalFormatting>
  <conditionalFormatting sqref="BH28">
    <cfRule type="containsText" dxfId="136" priority="54" operator="containsText" text="Tote">
      <formula>NOT(ISERROR(SEARCH("Tote",BH28)))</formula>
    </cfRule>
  </conditionalFormatting>
  <conditionalFormatting sqref="BH28">
    <cfRule type="containsText" dxfId="135" priority="53" operator="containsText" text="Tote">
      <formula>NOT(ISERROR(SEARCH("Tote",BH28)))</formula>
    </cfRule>
  </conditionalFormatting>
  <conditionalFormatting sqref="BK28">
    <cfRule type="containsText" dxfId="134" priority="52" operator="containsText" text="Tote">
      <formula>NOT(ISERROR(SEARCH("Tote",BK28)))</formula>
    </cfRule>
  </conditionalFormatting>
  <conditionalFormatting sqref="BK28">
    <cfRule type="containsText" dxfId="133" priority="51" operator="containsText" text="Tote">
      <formula>NOT(ISERROR(SEARCH("Tote",BK28)))</formula>
    </cfRule>
  </conditionalFormatting>
  <conditionalFormatting sqref="C23:C28">
    <cfRule type="containsText" dxfId="132" priority="40" operator="containsText" text="Tote">
      <formula>NOT(ISERROR(SEARCH("Tote",C23)))</formula>
    </cfRule>
  </conditionalFormatting>
  <conditionalFormatting sqref="C28">
    <cfRule type="containsText" dxfId="131" priority="39" operator="containsText" text="Tote">
      <formula>NOT(ISERROR(SEARCH("Tote",C28)))</formula>
    </cfRule>
  </conditionalFormatting>
  <conditionalFormatting sqref="C29:C31">
    <cfRule type="containsText" dxfId="130" priority="38" operator="containsText" text="Tote">
      <formula>NOT(ISERROR(SEARCH("Tote",C29)))</formula>
    </cfRule>
  </conditionalFormatting>
  <conditionalFormatting sqref="O11:O21">
    <cfRule type="containsText" dxfId="129" priority="37" operator="containsText" text="Tote">
      <formula>NOT(ISERROR(SEARCH("Tote",O11)))</formula>
    </cfRule>
  </conditionalFormatting>
  <conditionalFormatting sqref="AB38">
    <cfRule type="containsText" dxfId="128" priority="34" operator="containsText" text="Draw">
      <formula>NOT(ISERROR(SEARCH("Draw",AB38)))</formula>
    </cfRule>
    <cfRule type="containsText" dxfId="127" priority="35" operator="containsText" text="Loss">
      <formula>NOT(ISERROR(SEARCH("Loss",AB38)))</formula>
    </cfRule>
    <cfRule type="containsText" dxfId="126" priority="36" operator="containsText" text="Win">
      <formula>NOT(ISERROR(SEARCH("Win",AB38)))</formula>
    </cfRule>
  </conditionalFormatting>
  <conditionalFormatting sqref="AA31">
    <cfRule type="containsText" dxfId="125" priority="32" operator="containsText" text="Tote">
      <formula>NOT(ISERROR(SEARCH("Tote",AA31)))</formula>
    </cfRule>
  </conditionalFormatting>
  <conditionalFormatting sqref="AA31">
    <cfRule type="containsText" dxfId="124" priority="33" operator="containsText" text="Tote">
      <formula>NOT(ISERROR(SEARCH("Tote",AA31)))</formula>
    </cfRule>
  </conditionalFormatting>
  <conditionalFormatting sqref="AA30">
    <cfRule type="containsText" dxfId="123" priority="31" operator="containsText" text="Tote">
      <formula>NOT(ISERROR(SEARCH("Tote",AA30)))</formula>
    </cfRule>
  </conditionalFormatting>
  <conditionalFormatting sqref="AA11:AA22 AA24:AA25 AA27 AA29">
    <cfRule type="containsText" dxfId="122" priority="30" operator="containsText" text="Tote">
      <formula>NOT(ISERROR(SEARCH("Tote",AA11)))</formula>
    </cfRule>
  </conditionalFormatting>
  <conditionalFormatting sqref="AA22 AA24">
    <cfRule type="containsText" dxfId="121" priority="29" operator="containsText" text="Tote">
      <formula>NOT(ISERROR(SEARCH("Tote",AA22)))</formula>
    </cfRule>
  </conditionalFormatting>
  <conditionalFormatting sqref="AA23">
    <cfRule type="containsText" dxfId="120" priority="28" operator="containsText" text="Tote">
      <formula>NOT(ISERROR(SEARCH("Tote",AA23)))</formula>
    </cfRule>
  </conditionalFormatting>
  <conditionalFormatting sqref="AA26">
    <cfRule type="containsText" dxfId="119" priority="27" operator="containsText" text="Tote">
      <formula>NOT(ISERROR(SEARCH("Tote",AA26)))</formula>
    </cfRule>
  </conditionalFormatting>
  <conditionalFormatting sqref="AA26">
    <cfRule type="containsText" dxfId="118" priority="26" operator="containsText" text="Tote">
      <formula>NOT(ISERROR(SEARCH("Tote",AA26)))</formula>
    </cfRule>
  </conditionalFormatting>
  <conditionalFormatting sqref="AA28">
    <cfRule type="containsText" dxfId="117" priority="25" operator="containsText" text="Tote">
      <formula>NOT(ISERROR(SEARCH("Tote",AA28)))</formula>
    </cfRule>
  </conditionalFormatting>
  <conditionalFormatting sqref="AA28">
    <cfRule type="containsText" dxfId="116" priority="24" operator="containsText" text="Tote">
      <formula>NOT(ISERROR(SEARCH("Tote",AA28)))</formula>
    </cfRule>
  </conditionalFormatting>
  <conditionalFormatting sqref="BF38">
    <cfRule type="containsText" dxfId="115" priority="21" operator="containsText" text="Draw">
      <formula>NOT(ISERROR(SEARCH("Draw",BF38)))</formula>
    </cfRule>
    <cfRule type="containsText" dxfId="114" priority="22" operator="containsText" text="Loss">
      <formula>NOT(ISERROR(SEARCH("Loss",BF38)))</formula>
    </cfRule>
    <cfRule type="containsText" dxfId="113" priority="23" operator="containsText" text="Win">
      <formula>NOT(ISERROR(SEARCH("Win",BF38)))</formula>
    </cfRule>
  </conditionalFormatting>
  <conditionalFormatting sqref="BE31">
    <cfRule type="containsText" dxfId="112" priority="19" operator="containsText" text="Tote">
      <formula>NOT(ISERROR(SEARCH("Tote",BE31)))</formula>
    </cfRule>
  </conditionalFormatting>
  <conditionalFormatting sqref="BE31">
    <cfRule type="containsText" dxfId="111" priority="20" operator="containsText" text="Tote">
      <formula>NOT(ISERROR(SEARCH("Tote",BE31)))</formula>
    </cfRule>
  </conditionalFormatting>
  <conditionalFormatting sqref="BE30">
    <cfRule type="containsText" dxfId="110" priority="18" operator="containsText" text="Tote">
      <formula>NOT(ISERROR(SEARCH("Tote",BE30)))</formula>
    </cfRule>
  </conditionalFormatting>
  <conditionalFormatting sqref="BE11:BE22 BE24:BE25 BE27 BE29">
    <cfRule type="containsText" dxfId="109" priority="17" operator="containsText" text="Tote">
      <formula>NOT(ISERROR(SEARCH("Tote",BE11)))</formula>
    </cfRule>
  </conditionalFormatting>
  <conditionalFormatting sqref="BE22 BE24">
    <cfRule type="containsText" dxfId="108" priority="16" operator="containsText" text="Tote">
      <formula>NOT(ISERROR(SEARCH("Tote",BE22)))</formula>
    </cfRule>
  </conditionalFormatting>
  <conditionalFormatting sqref="BE23">
    <cfRule type="containsText" dxfId="107" priority="15" operator="containsText" text="Tote">
      <formula>NOT(ISERROR(SEARCH("Tote",BE23)))</formula>
    </cfRule>
  </conditionalFormatting>
  <conditionalFormatting sqref="BE26">
    <cfRule type="containsText" dxfId="106" priority="14" operator="containsText" text="Tote">
      <formula>NOT(ISERROR(SEARCH("Tote",BE26)))</formula>
    </cfRule>
  </conditionalFormatting>
  <conditionalFormatting sqref="BE26">
    <cfRule type="containsText" dxfId="105" priority="13" operator="containsText" text="Tote">
      <formula>NOT(ISERROR(SEARCH("Tote",BE26)))</formula>
    </cfRule>
  </conditionalFormatting>
  <conditionalFormatting sqref="BE28">
    <cfRule type="containsText" dxfId="104" priority="12" operator="containsText" text="Tote">
      <formula>NOT(ISERROR(SEARCH("Tote",BE28)))</formula>
    </cfRule>
  </conditionalFormatting>
  <conditionalFormatting sqref="BE28">
    <cfRule type="containsText" dxfId="103" priority="11" operator="containsText" text="Tote">
      <formula>NOT(ISERROR(SEARCH("Tote",BE28)))</formula>
    </cfRule>
  </conditionalFormatting>
  <conditionalFormatting sqref="BB31">
    <cfRule type="containsText" dxfId="102" priority="9" operator="containsText" text="Tote">
      <formula>NOT(ISERROR(SEARCH("Tote",BB31)))</formula>
    </cfRule>
  </conditionalFormatting>
  <conditionalFormatting sqref="BB31">
    <cfRule type="containsText" dxfId="101" priority="10" operator="containsText" text="Tote">
      <formula>NOT(ISERROR(SEARCH("Tote",BB31)))</formula>
    </cfRule>
  </conditionalFormatting>
  <conditionalFormatting sqref="BB30">
    <cfRule type="containsText" dxfId="100" priority="8" operator="containsText" text="Tote">
      <formula>NOT(ISERROR(SEARCH("Tote",BB30)))</formula>
    </cfRule>
  </conditionalFormatting>
  <conditionalFormatting sqref="BB11:BB22 BB24:BB25 BB27 BB29">
    <cfRule type="containsText" dxfId="99" priority="7" operator="containsText" text="Tote">
      <formula>NOT(ISERROR(SEARCH("Tote",BB11)))</formula>
    </cfRule>
  </conditionalFormatting>
  <conditionalFormatting sqref="BB22 BB24">
    <cfRule type="containsText" dxfId="98" priority="6" operator="containsText" text="Tote">
      <formula>NOT(ISERROR(SEARCH("Tote",BB22)))</formula>
    </cfRule>
  </conditionalFormatting>
  <conditionalFormatting sqref="BB23">
    <cfRule type="containsText" dxfId="97" priority="5" operator="containsText" text="Tote">
      <formula>NOT(ISERROR(SEARCH("Tote",BB23)))</formula>
    </cfRule>
  </conditionalFormatting>
  <conditionalFormatting sqref="BB26">
    <cfRule type="containsText" dxfId="96" priority="4" operator="containsText" text="Tote">
      <formula>NOT(ISERROR(SEARCH("Tote",BB26)))</formula>
    </cfRule>
  </conditionalFormatting>
  <conditionalFormatting sqref="BB26">
    <cfRule type="containsText" dxfId="95" priority="3" operator="containsText" text="Tote">
      <formula>NOT(ISERROR(SEARCH("Tote",BB26)))</formula>
    </cfRule>
  </conditionalFormatting>
  <conditionalFormatting sqref="BB28">
    <cfRule type="containsText" dxfId="94" priority="2" operator="containsText" text="Tote">
      <formula>NOT(ISERROR(SEARCH("Tote",BB28)))</formula>
    </cfRule>
  </conditionalFormatting>
  <conditionalFormatting sqref="BB28">
    <cfRule type="containsText" dxfId="93" priority="1" operator="containsText" text="Tote">
      <formula>NOT(ISERROR(SEARCH("Tote",BB28)))</formula>
    </cfRule>
  </conditionalFormatting>
  <dataValidations disablePrompts="1" count="2">
    <dataValidation type="list" allowBlank="1" showInputMessage="1" showErrorMessage="1" sqref="E5 BA5 N5 Q5 BJ5 BV5 W5 AF5 AC5 B5 BS5 AL5 T5 H5 K5 AR5 AO5 AX5 BY5 BP5 BM5 AI5 AU5 BG5 Z5 BD5" xr:uid="{00000000-0002-0000-0000-000000000000}">
      <formula1>LIST</formula1>
    </dataValidation>
    <dataValidation type="list" allowBlank="1" showInputMessage="1" showErrorMessage="1" sqref="B6 BY6 H6 K6 BS6 AO6 AI6 AX6 BV6 W6 BG6 AC6 E6 AF6 N6 Q6 T6 AL6 BM6 BJ6 AR6 BP6 BD6 BA6 AU6 Z6" xr:uid="{00000000-0002-0000-0000-000001000000}">
      <formula1>CUP</formula1>
    </dataValidation>
  </dataValidations>
  <hyperlinks>
    <hyperlink ref="C8" r:id="rId1" xr:uid="{00000000-0004-0000-0000-000000000000}"/>
    <hyperlink ref="F8" r:id="rId2" xr:uid="{00000000-0004-0000-0000-000001000000}"/>
    <hyperlink ref="I8" r:id="rId3" xr:uid="{00000000-0004-0000-0000-000002000000}"/>
    <hyperlink ref="O8" r:id="rId4" xr:uid="{00000000-0004-0000-0000-000003000000}"/>
    <hyperlink ref="R8" r:id="rId5" xr:uid="{00000000-0004-0000-0000-000004000000}"/>
    <hyperlink ref="AA8" r:id="rId6" xr:uid="{00000000-0004-0000-0000-000005000000}"/>
    <hyperlink ref="AJ8" r:id="rId7" xr:uid="{00000000-0004-0000-0000-000006000000}"/>
    <hyperlink ref="X8" r:id="rId8" xr:uid="{00000000-0004-0000-0000-000007000000}"/>
    <hyperlink ref="AM8" r:id="rId9" xr:uid="{AE970ED3-5980-4456-91EF-84958FC981C9}"/>
    <hyperlink ref="AP8" r:id="rId10" xr:uid="{E253EBA3-4A8F-4C31-9F3E-D9A4FE5165B8}"/>
    <hyperlink ref="AS8" r:id="rId11" xr:uid="{33EB907D-7C7D-452A-AA5E-F77B2864B0A3}"/>
    <hyperlink ref="AV8" r:id="rId12" xr:uid="{229B6372-7403-45EF-8881-B708C60B2649}"/>
    <hyperlink ref="BB8" r:id="rId13" xr:uid="{33C9265B-275B-411D-9B92-284C741BC0B9}"/>
    <hyperlink ref="BE8" r:id="rId14" xr:uid="{6F4E7C99-521D-48C9-9B34-BBBED0A48186}"/>
    <hyperlink ref="BH8" r:id="rId15" xr:uid="{BA9E6932-4319-45F6-8E39-8DC3D51C72F5}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5"/>
  <sheetViews>
    <sheetView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F7" sqref="AF7:AF17"/>
    </sheetView>
  </sheetViews>
  <sheetFormatPr defaultRowHeight="15" x14ac:dyDescent="0.25"/>
  <cols>
    <col min="1" max="1" width="16.7109375" customWidth="1"/>
    <col min="2" max="2" width="2.28515625" style="31" customWidth="1"/>
    <col min="3" max="3" width="10" style="31" bestFit="1" customWidth="1"/>
    <col min="4" max="4" width="7.5703125" style="31" bestFit="1" customWidth="1"/>
    <col min="5" max="5" width="2.28515625" style="31" customWidth="1"/>
    <col min="6" max="6" width="6.85546875" customWidth="1"/>
    <col min="7" max="7" width="6.28515625" bestFit="1" customWidth="1"/>
    <col min="8" max="8" width="6.7109375" customWidth="1"/>
    <col min="9" max="9" width="6" customWidth="1"/>
    <col min="10" max="10" width="4.42578125" bestFit="1" customWidth="1"/>
    <col min="11" max="11" width="2.5703125" customWidth="1"/>
    <col min="12" max="12" width="6.85546875" customWidth="1"/>
    <col min="13" max="13" width="5.85546875" customWidth="1"/>
    <col min="14" max="14" width="6.7109375" customWidth="1"/>
    <col min="15" max="15" width="6.28515625" bestFit="1" customWidth="1"/>
    <col min="16" max="16" width="4.42578125" bestFit="1" customWidth="1"/>
    <col min="17" max="17" width="2.5703125" customWidth="1"/>
    <col min="18" max="18" width="6.85546875" customWidth="1"/>
    <col min="19" max="20" width="6.7109375" customWidth="1"/>
    <col min="21" max="21" width="6.28515625" bestFit="1" customWidth="1"/>
    <col min="22" max="22" width="4.42578125" bestFit="1" customWidth="1"/>
    <col min="23" max="23" width="2.5703125" customWidth="1"/>
    <col min="24" max="24" width="6.85546875" customWidth="1"/>
    <col min="25" max="25" width="6.28515625" bestFit="1" customWidth="1"/>
    <col min="26" max="26" width="6.7109375" customWidth="1"/>
    <col min="27" max="28" width="6.28515625" bestFit="1" customWidth="1"/>
    <col min="29" max="29" width="2.5703125" customWidth="1"/>
    <col min="30" max="30" width="6.85546875" customWidth="1"/>
    <col min="31" max="31" width="5" bestFit="1" customWidth="1"/>
    <col min="32" max="32" width="6.7109375" customWidth="1"/>
    <col min="33" max="33" width="6.28515625" bestFit="1" customWidth="1"/>
    <col min="34" max="34" width="4.42578125" bestFit="1" customWidth="1"/>
  </cols>
  <sheetData>
    <row r="1" spans="1:38" ht="23.25" x14ac:dyDescent="0.35">
      <c r="A1" s="27" t="s">
        <v>52</v>
      </c>
      <c r="B1" s="30"/>
      <c r="C1" s="30"/>
      <c r="D1" s="30"/>
      <c r="E1" s="30"/>
      <c r="M1" s="191" t="s">
        <v>37</v>
      </c>
      <c r="N1" s="191"/>
      <c r="O1" s="400">
        <f ca="1">NOW()</f>
        <v>43503.742375810187</v>
      </c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</row>
    <row r="2" spans="1:38" ht="15.75" customHeight="1" x14ac:dyDescent="0.35">
      <c r="A2" s="27"/>
      <c r="B2" s="30"/>
      <c r="C2" s="30"/>
      <c r="D2" s="30"/>
      <c r="E2" s="30"/>
      <c r="N2" s="22"/>
      <c r="Z2" s="22"/>
    </row>
    <row r="3" spans="1:38" ht="23.25" x14ac:dyDescent="0.35">
      <c r="A3" s="1"/>
      <c r="B3" s="32"/>
      <c r="C3" s="32"/>
      <c r="D3" s="32"/>
      <c r="E3" s="32"/>
      <c r="F3" s="188" t="s">
        <v>15</v>
      </c>
      <c r="G3" s="189"/>
      <c r="H3" s="189"/>
      <c r="I3" s="189"/>
      <c r="J3" s="190"/>
      <c r="K3" s="27"/>
      <c r="L3" s="192" t="s">
        <v>6</v>
      </c>
      <c r="M3" s="193"/>
      <c r="N3" s="194"/>
      <c r="O3" s="193"/>
      <c r="P3" s="195"/>
      <c r="Q3" s="196"/>
      <c r="R3" s="241" t="s">
        <v>31</v>
      </c>
      <c r="S3" s="242"/>
      <c r="T3" s="242"/>
      <c r="U3" s="242"/>
      <c r="V3" s="243"/>
      <c r="W3" s="27"/>
      <c r="X3" s="284" t="s">
        <v>32</v>
      </c>
      <c r="Y3" s="285"/>
      <c r="Z3" s="286"/>
      <c r="AA3" s="285"/>
      <c r="AB3" s="287"/>
      <c r="AC3" s="196"/>
      <c r="AD3" s="197" t="s">
        <v>17</v>
      </c>
      <c r="AE3" s="198"/>
      <c r="AF3" s="65"/>
      <c r="AG3" s="65"/>
      <c r="AH3" s="66"/>
    </row>
    <row r="4" spans="1:38" ht="38.25" x14ac:dyDescent="0.35">
      <c r="A4" s="212" t="s">
        <v>20</v>
      </c>
      <c r="B4" s="32"/>
      <c r="C4" s="338" t="s">
        <v>43</v>
      </c>
      <c r="D4" s="338" t="s">
        <v>45</v>
      </c>
      <c r="E4" s="32"/>
      <c r="F4" s="203">
        <f>+F34</f>
        <v>6</v>
      </c>
      <c r="G4" s="214"/>
      <c r="H4" s="214"/>
      <c r="I4" s="204"/>
      <c r="J4" s="205"/>
      <c r="K4" s="27"/>
      <c r="L4" s="206">
        <f>+L34</f>
        <v>9</v>
      </c>
      <c r="M4" s="207"/>
      <c r="N4" s="218"/>
      <c r="O4" s="215"/>
      <c r="P4" s="208"/>
      <c r="Q4" s="196"/>
      <c r="R4" s="244">
        <f>+R34</f>
        <v>2</v>
      </c>
      <c r="S4" s="245"/>
      <c r="T4" s="245"/>
      <c r="U4" s="246"/>
      <c r="V4" s="247"/>
      <c r="W4" s="27"/>
      <c r="X4" s="288">
        <f>+X34</f>
        <v>13</v>
      </c>
      <c r="Y4" s="289"/>
      <c r="Z4" s="290"/>
      <c r="AA4" s="291"/>
      <c r="AB4" s="292"/>
      <c r="AC4" s="196"/>
      <c r="AD4" s="209">
        <f>+AD34</f>
        <v>15</v>
      </c>
      <c r="AE4" s="210"/>
      <c r="AF4" s="217"/>
      <c r="AG4" s="216"/>
      <c r="AH4" s="211"/>
    </row>
    <row r="5" spans="1:38" ht="15.75" customHeight="1" x14ac:dyDescent="0.25">
      <c r="A5" s="1"/>
      <c r="B5" s="32"/>
      <c r="C5" s="32"/>
      <c r="D5" s="32"/>
      <c r="E5" s="32"/>
      <c r="F5" s="51"/>
      <c r="G5" s="52"/>
      <c r="H5" s="52"/>
      <c r="I5" s="53" t="s">
        <v>25</v>
      </c>
      <c r="J5" s="54"/>
      <c r="K5" s="5"/>
      <c r="L5" s="57"/>
      <c r="M5" s="58"/>
      <c r="N5" s="58"/>
      <c r="O5" s="59" t="s">
        <v>25</v>
      </c>
      <c r="P5" s="60"/>
      <c r="Q5" s="4"/>
      <c r="R5" s="248"/>
      <c r="S5" s="249"/>
      <c r="T5" s="249"/>
      <c r="U5" s="250" t="s">
        <v>25</v>
      </c>
      <c r="V5" s="251"/>
      <c r="W5" s="5"/>
      <c r="X5" s="293"/>
      <c r="Y5" s="294"/>
      <c r="Z5" s="294"/>
      <c r="AA5" s="295" t="s">
        <v>25</v>
      </c>
      <c r="AB5" s="296"/>
      <c r="AC5" s="4"/>
      <c r="AD5" s="67"/>
      <c r="AE5" s="68"/>
      <c r="AF5" s="68"/>
      <c r="AG5" s="69" t="s">
        <v>25</v>
      </c>
      <c r="AH5" s="70"/>
    </row>
    <row r="6" spans="1:38" ht="15.75" customHeight="1" x14ac:dyDescent="0.3">
      <c r="A6" s="47" t="s">
        <v>0</v>
      </c>
      <c r="B6" s="33"/>
      <c r="C6" s="33"/>
      <c r="D6" s="33"/>
      <c r="E6" s="33"/>
      <c r="F6" s="55" t="s">
        <v>24</v>
      </c>
      <c r="G6" s="53" t="s">
        <v>39</v>
      </c>
      <c r="H6" s="53" t="s">
        <v>23</v>
      </c>
      <c r="I6" s="53" t="s">
        <v>26</v>
      </c>
      <c r="J6" s="56" t="s">
        <v>18</v>
      </c>
      <c r="K6" s="7"/>
      <c r="L6" s="61" t="s">
        <v>24</v>
      </c>
      <c r="M6" s="59" t="s">
        <v>39</v>
      </c>
      <c r="N6" s="59" t="s">
        <v>23</v>
      </c>
      <c r="O6" s="59" t="s">
        <v>26</v>
      </c>
      <c r="P6" s="62" t="s">
        <v>18</v>
      </c>
      <c r="Q6" s="4"/>
      <c r="R6" s="252" t="s">
        <v>24</v>
      </c>
      <c r="S6" s="250" t="s">
        <v>39</v>
      </c>
      <c r="T6" s="250" t="s">
        <v>23</v>
      </c>
      <c r="U6" s="250" t="s">
        <v>26</v>
      </c>
      <c r="V6" s="253" t="s">
        <v>18</v>
      </c>
      <c r="W6" s="7"/>
      <c r="X6" s="297" t="s">
        <v>24</v>
      </c>
      <c r="Y6" s="295" t="s">
        <v>39</v>
      </c>
      <c r="Z6" s="295" t="s">
        <v>23</v>
      </c>
      <c r="AA6" s="295" t="s">
        <v>26</v>
      </c>
      <c r="AB6" s="298" t="s">
        <v>18</v>
      </c>
      <c r="AC6" s="4"/>
      <c r="AD6" s="71" t="s">
        <v>24</v>
      </c>
      <c r="AE6" s="69" t="s">
        <v>39</v>
      </c>
      <c r="AF6" s="69" t="s">
        <v>23</v>
      </c>
      <c r="AG6" s="69" t="s">
        <v>26</v>
      </c>
      <c r="AH6" s="72" t="s">
        <v>18</v>
      </c>
    </row>
    <row r="7" spans="1:38" ht="18.75" customHeight="1" x14ac:dyDescent="0.25">
      <c r="A7" s="28" t="str">
        <f>IF(+Scores!A11&lt;&gt;0, +Scores!A11,"")</f>
        <v>Dave E (Doc)</v>
      </c>
      <c r="B7" s="90"/>
      <c r="C7" s="351">
        <f>MAX(Scores!B11:CA11)</f>
        <v>51</v>
      </c>
      <c r="D7" s="351">
        <f>COUNTIF(Scores!B11:CA11,"Tote")</f>
        <v>0</v>
      </c>
      <c r="E7" s="90"/>
      <c r="F7" s="240">
        <f>SUMIFS(Scores!D11:CA11,Scores!D$9:CA$9,"Score",Scores!B$5:BY$5,"Home")</f>
        <v>137</v>
      </c>
      <c r="G7" s="91">
        <f>COUNTIFS(Scores!B11:BY11, "&gt;0",Scores!B$9:BY$9,"Pos #",Scores!B$5:BY$5,"Home")</f>
        <v>3</v>
      </c>
      <c r="H7" s="92">
        <f t="shared" ref="H7:H27" si="0">IF((G7&gt;0),ROUND(F7/G7,1),"")</f>
        <v>45.7</v>
      </c>
      <c r="I7" s="93">
        <f>COUNTIFS(Scores!C11:BZ11, "Tote",Scores!B$5:BY$5,"Home")</f>
        <v>0</v>
      </c>
      <c r="J7" s="94">
        <f t="shared" ref="J7:J21" si="1">IF(ISNUMBER(H7),_xlfn.RANK.AVG(H7,H$7:H$21,0),"")</f>
        <v>5</v>
      </c>
      <c r="K7" s="95"/>
      <c r="L7" s="96">
        <f>SUMIFS(Scores!D11:CA11,Scores!D$9:CA$9,"Score",Scores!B$5:BY$5,"Away")</f>
        <v>267</v>
      </c>
      <c r="M7" s="97">
        <f>COUNTIFS(Scores!B11:BY11, "&gt;0",Scores!B$9:BY$9,"Pos #",Scores!B$5:BY$5,"Away")</f>
        <v>6</v>
      </c>
      <c r="N7" s="16">
        <f t="shared" ref="N7:N27" si="2">IF((M7&gt;0),ROUND(L7/M7,1),"")</f>
        <v>44.5</v>
      </c>
      <c r="O7" s="106">
        <f>COUNTIFS(Scores!C11:BZ11, "Tote",Scores!B$5:BY$5,"Away")</f>
        <v>0</v>
      </c>
      <c r="P7" s="63">
        <f t="shared" ref="P7:P21" si="3">IF(ISNUMBER(N7),_xlfn.RANK.AVG(N7,N$7:N$21,0),"")</f>
        <v>10</v>
      </c>
      <c r="Q7" s="98"/>
      <c r="R7" s="254">
        <f>SUMIFS(Scores!D11:CA11,Scores!D$9:CA$9,"Score",Scores!B$6:BY$6,"Cup")</f>
        <v>46</v>
      </c>
      <c r="S7" s="325">
        <f>COUNTIFS(Scores!B11:BY11, "&gt;0",Scores!B$9:BY$9,"Pos #",Scores!B$6:BY$6,"Cup")</f>
        <v>1</v>
      </c>
      <c r="T7" s="255">
        <f t="shared" ref="T7:T27" si="4">IF((S7&gt;0),ROUND(R7/S7,1),"")</f>
        <v>46</v>
      </c>
      <c r="U7" s="256">
        <f>COUNTIFS(Scores!O11:CL11, "Tote",Scores!B$6:BY$6,"Cup")</f>
        <v>0</v>
      </c>
      <c r="V7" s="257">
        <f t="shared" ref="V7:V27" si="5">IF(ISNUMBER(T7),_xlfn.RANK.AVG(T7,T$7:T$27,0),"")</f>
        <v>5</v>
      </c>
      <c r="W7" s="95"/>
      <c r="X7" s="328">
        <f>SUMIFS(Scores!D11:CA11,Scores!D$9:CA$9,"Score",Scores!B$6:BY$6,"League")</f>
        <v>358</v>
      </c>
      <c r="Y7" s="329">
        <f>COUNTIFS(Scores!B11:BY11, "&gt;0",Scores!B$9:BY$9,"Pos #",Scores!B$6:BY$6,"League")</f>
        <v>8</v>
      </c>
      <c r="Z7" s="299">
        <f t="shared" ref="Z7:Z27" si="6">IF((Y7&gt;0),ROUND(X7/Y7,1),"")</f>
        <v>44.8</v>
      </c>
      <c r="AA7" s="300">
        <f>COUNTIFS(Scores!O11:CL11, "Tote",Scores!B$6:BY$6,"League")</f>
        <v>0</v>
      </c>
      <c r="AB7" s="301">
        <f t="shared" ref="AB7:AB21" si="7">IF(ISNUMBER(Z7),_xlfn.RANK.AVG(Z7,Z$7:Z$21,0),"")</f>
        <v>8</v>
      </c>
      <c r="AC7" s="98"/>
      <c r="AD7" s="88">
        <f>SUMIFS(Scores!D11:CA11,Scores!D$9:CA$9,"Score")</f>
        <v>404</v>
      </c>
      <c r="AE7" s="17">
        <f>COUNTIFS(Scores!B11:BY11, "&gt;0",Scores!B$9:BY$9,"Pos #")</f>
        <v>9</v>
      </c>
      <c r="AF7" s="18">
        <f t="shared" ref="AF7:AF27" si="8">IF((AE7&gt;0),ROUND(AD7/AE7,1),"")</f>
        <v>44.9</v>
      </c>
      <c r="AG7" s="19">
        <f>COUNTIF(Scores!B11:CA11, "Tote")</f>
        <v>0</v>
      </c>
      <c r="AH7" s="73">
        <f t="shared" ref="AH7:AH21" si="9">IF(ISNUMBER(AF7),_xlfn.RANK.AVG(AF7,AF$7:AF$21,0),"")</f>
        <v>8</v>
      </c>
      <c r="AK7" s="89"/>
      <c r="AL7" s="89"/>
    </row>
    <row r="8" spans="1:38" ht="15.75" x14ac:dyDescent="0.25">
      <c r="A8" s="28" t="str">
        <f>IF(+Scores!A12&lt;&gt;0, +Scores!A12,"")</f>
        <v>Dash</v>
      </c>
      <c r="B8" s="45"/>
      <c r="C8" s="351">
        <f>MAX(Scores!B12:CA12)</f>
        <v>61</v>
      </c>
      <c r="D8" s="351">
        <f>COUNTIF(Scores!B12:CA12,"Tote")</f>
        <v>2</v>
      </c>
      <c r="E8" s="45"/>
      <c r="F8" s="99">
        <f>SUMIFS(Scores!D12:CA12,Scores!D$9:CA$9,"Score",Scores!B$5:BY$5,"Home")</f>
        <v>231</v>
      </c>
      <c r="G8" s="100">
        <f>COUNTIFS(Scores!B12:BY12, "&gt;0",Scores!B$9:BY$9,"Pos #",Scores!B$5:BY$5,"Home")</f>
        <v>5</v>
      </c>
      <c r="H8" s="101">
        <f t="shared" si="0"/>
        <v>46.2</v>
      </c>
      <c r="I8" s="102">
        <f>COUNTIFS(Scores!C12:BZ12, "Tote",Scores!B$5:BY$5,"Home")</f>
        <v>1</v>
      </c>
      <c r="J8" s="103">
        <f t="shared" si="1"/>
        <v>4</v>
      </c>
      <c r="K8" s="104"/>
      <c r="L8" s="105">
        <f>SUMIFS(Scores!D12:CA12,Scores!D$9:CA$9,"Score",Scores!B$5:BY$5,"Away")</f>
        <v>230</v>
      </c>
      <c r="M8" s="129">
        <f>COUNTIFS(Scores!B12:BY12, "&gt;0",Scores!B$9:BY$9,"Pos #",Scores!B$5:BY$5,"Away")</f>
        <v>5</v>
      </c>
      <c r="N8" s="16">
        <f t="shared" si="2"/>
        <v>46</v>
      </c>
      <c r="O8" s="106">
        <f>COUNTIFS(Scores!C12:BZ12, "Tote",Scores!B$5:BY$5,"Away")</f>
        <v>1</v>
      </c>
      <c r="P8" s="63">
        <f t="shared" si="3"/>
        <v>7</v>
      </c>
      <c r="Q8" s="107"/>
      <c r="R8" s="254">
        <f>SUMIFS(Scores!D12:CA12,Scores!D$9:CA$9,"Score",Scores!B$6:BY$6,"Cup")</f>
        <v>42</v>
      </c>
      <c r="S8" s="327">
        <f>COUNTIFS(Scores!B12:BY12, "&gt;0",Scores!B$9:BY$9,"Pos #",Scores!B$6:BY$6,"Cup")</f>
        <v>1</v>
      </c>
      <c r="T8" s="258">
        <f t="shared" si="4"/>
        <v>42</v>
      </c>
      <c r="U8" s="259">
        <f>COUNTIFS(Scores!O12:CL12, "Tote",Scores!B$5:BY$5,"Cup")</f>
        <v>0</v>
      </c>
      <c r="V8" s="260">
        <f t="shared" si="5"/>
        <v>10</v>
      </c>
      <c r="W8" s="104"/>
      <c r="X8" s="332">
        <f>SUMIFS(Scores!D12:CA12,Scores!D$9:CA$9,"Score",Scores!B$6:BY$6,"League")</f>
        <v>419</v>
      </c>
      <c r="Y8" s="333">
        <f>COUNTIFS(Scores!B12:BY12, "&gt;0",Scores!B$9:BY$9,"Pos #",Scores!B$6:BY$6,"League")</f>
        <v>9</v>
      </c>
      <c r="Z8" s="299">
        <f t="shared" si="6"/>
        <v>46.6</v>
      </c>
      <c r="AA8" s="300">
        <f>COUNTIFS(Scores!O12:CL12, "Tote",Scores!B$6:BY$6,"League")</f>
        <v>2</v>
      </c>
      <c r="AB8" s="301">
        <f t="shared" si="7"/>
        <v>5</v>
      </c>
      <c r="AC8" s="107"/>
      <c r="AD8" s="88">
        <f>SUMIFS(Scores!D12:CA12,Scores!D$9:CA$9,"Score")</f>
        <v>461</v>
      </c>
      <c r="AE8" s="17">
        <f>COUNTIFS(Scores!B12:BY12, "&gt;0",Scores!B$9:BY$9,"Pos #")</f>
        <v>10</v>
      </c>
      <c r="AF8" s="18">
        <f t="shared" si="8"/>
        <v>46.1</v>
      </c>
      <c r="AG8" s="19">
        <f>COUNTIF(Scores!B12:CA12, "Tote")</f>
        <v>2</v>
      </c>
      <c r="AH8" s="73">
        <f t="shared" si="9"/>
        <v>7</v>
      </c>
      <c r="AK8" s="89"/>
      <c r="AL8" s="89"/>
    </row>
    <row r="9" spans="1:38" ht="15.75" x14ac:dyDescent="0.25">
      <c r="A9" s="28" t="str">
        <f>IF(+Scores!A13&lt;&gt;0, +Scores!A13,"")</f>
        <v>John B</v>
      </c>
      <c r="B9" s="45"/>
      <c r="C9" s="351">
        <f>MAX(Scores!B13:CA13)</f>
        <v>62</v>
      </c>
      <c r="D9" s="351">
        <f>COUNTIF(Scores!B13:CA13,"Tote")</f>
        <v>0</v>
      </c>
      <c r="E9" s="45"/>
      <c r="F9" s="99">
        <f>SUMIFS(Scores!D13:CA13,Scores!D$9:CA$9,"Score",Scores!B$5:BY$5,"Home")</f>
        <v>86</v>
      </c>
      <c r="G9" s="100">
        <f>COUNTIFS(Scores!B13:BY13, "&gt;0",Scores!B$9:BY$9,"Pos #",Scores!B$5:BY$5,"Home")</f>
        <v>2</v>
      </c>
      <c r="H9" s="101">
        <f t="shared" si="0"/>
        <v>43</v>
      </c>
      <c r="I9" s="102">
        <f>COUNTIFS(Scores!C13:BZ13, "Tote",Scores!B$5:BY$5,"Home")</f>
        <v>0</v>
      </c>
      <c r="J9" s="103">
        <f t="shared" si="1"/>
        <v>10</v>
      </c>
      <c r="K9" s="104"/>
      <c r="L9" s="105">
        <f>SUMIFS(Scores!D13:CA13,Scores!D$9:CA$9,"Score",Scores!B$5:BY$5,"Away")</f>
        <v>264</v>
      </c>
      <c r="M9" s="129">
        <f>COUNTIFS(Scores!B13:BY13, "&gt;0",Scores!B$9:BY$9,"Pos #",Scores!B$5:BY$5,"Away")</f>
        <v>5</v>
      </c>
      <c r="N9" s="16">
        <f t="shared" si="2"/>
        <v>52.8</v>
      </c>
      <c r="O9" s="106">
        <f>COUNTIFS(Scores!C13:BZ13, "Tote",Scores!B$5:BY$5,"Away")</f>
        <v>0</v>
      </c>
      <c r="P9" s="63">
        <f t="shared" si="3"/>
        <v>1</v>
      </c>
      <c r="Q9" s="107"/>
      <c r="R9" s="254">
        <f>SUMIFS(Scores!D13:CA13,Scores!D$9:CA$9,"Score",Scores!B$6:BY$6,"Cup")</f>
        <v>62</v>
      </c>
      <c r="S9" s="327">
        <f>COUNTIFS(Scores!B13:BY13, "&gt;0",Scores!B$9:BY$9,"Pos #",Scores!B$6:BY$6,"Cup")</f>
        <v>1</v>
      </c>
      <c r="T9" s="258">
        <f t="shared" si="4"/>
        <v>62</v>
      </c>
      <c r="U9" s="259">
        <f>COUNTIFS(Scores!O13:CL13, "Tote",Scores!B$6:BY$6,"Cup")</f>
        <v>0</v>
      </c>
      <c r="V9" s="260">
        <f t="shared" si="5"/>
        <v>1</v>
      </c>
      <c r="W9" s="104"/>
      <c r="X9" s="332">
        <f>SUMIFS(Scores!D13:CA13,Scores!D$9:CA$9,"Score",Scores!B$6:BY$6,"League")</f>
        <v>288</v>
      </c>
      <c r="Y9" s="333">
        <f>COUNTIFS(Scores!B13:BY13, "&gt;0",Scores!B$9:BY$9,"Pos #",Scores!B$6:BY$6,"League")</f>
        <v>6</v>
      </c>
      <c r="Z9" s="299">
        <f t="shared" si="6"/>
        <v>48</v>
      </c>
      <c r="AA9" s="300">
        <f>COUNTIFS(Scores!O13:CL13, "Tote",Scores!B$6:BY$6,"League")</f>
        <v>0</v>
      </c>
      <c r="AB9" s="301">
        <f t="shared" si="7"/>
        <v>3</v>
      </c>
      <c r="AC9" s="107"/>
      <c r="AD9" s="88">
        <f>SUMIFS(Scores!D13:CA13,Scores!D$9:CA$9,"Score")</f>
        <v>350</v>
      </c>
      <c r="AE9" s="17">
        <f>COUNTIFS(Scores!B13:BY13, "&gt;0",Scores!B$9:BY$9,"Pos #")</f>
        <v>7</v>
      </c>
      <c r="AF9" s="18">
        <f t="shared" si="8"/>
        <v>50</v>
      </c>
      <c r="AG9" s="19">
        <f>COUNTIF(Scores!B13:CA13, "Tote")</f>
        <v>0</v>
      </c>
      <c r="AH9" s="73">
        <f t="shared" si="9"/>
        <v>2</v>
      </c>
      <c r="AK9" s="89"/>
      <c r="AL9" s="89"/>
    </row>
    <row r="10" spans="1:38" ht="15.75" x14ac:dyDescent="0.25">
      <c r="A10" s="28" t="str">
        <f>IF(+Scores!A14&lt;&gt;0, +Scores!A14,"")</f>
        <v>Lyndon</v>
      </c>
      <c r="B10" s="45"/>
      <c r="C10" s="351">
        <f>MAX(Scores!B14:CA14)</f>
        <v>55</v>
      </c>
      <c r="D10" s="351">
        <f>COUNTIF(Scores!B14:CA14,"Tote")</f>
        <v>1</v>
      </c>
      <c r="E10" s="45"/>
      <c r="F10" s="99">
        <f>SUMIFS(Scores!D14:CA14,Scores!D$9:CA$9,"Score",Scores!B$5:BY$5,"Home")</f>
        <v>102</v>
      </c>
      <c r="G10" s="100">
        <f>COUNTIFS(Scores!B14:BY14, "&gt;0",Scores!B$9:BY$9,"Pos #",Scores!B$5:BY$5,"Home")</f>
        <v>2</v>
      </c>
      <c r="H10" s="101">
        <f t="shared" si="0"/>
        <v>51</v>
      </c>
      <c r="I10" s="102">
        <f>COUNTIFS(Scores!C14:BZ14, "Tote",Scores!B$5:BY$5,"Home")</f>
        <v>1</v>
      </c>
      <c r="J10" s="103">
        <f t="shared" si="1"/>
        <v>2</v>
      </c>
      <c r="K10" s="104"/>
      <c r="L10" s="105">
        <f>SUMIFS(Scores!D14:CA14,Scores!D$9:CA$9,"Score",Scores!B$5:BY$5,"Away")</f>
        <v>179</v>
      </c>
      <c r="M10" s="129">
        <f>COUNTIFS(Scores!B14:BY14, "&gt;0",Scores!B$9:BY$9,"Pos #",Scores!B$5:BY$5,"Away")</f>
        <v>4</v>
      </c>
      <c r="N10" s="16">
        <f t="shared" si="2"/>
        <v>44.8</v>
      </c>
      <c r="O10" s="106">
        <f>COUNTIFS(Scores!C14:BZ14, "Tote",Scores!B$5:BY$5,"Away")</f>
        <v>0</v>
      </c>
      <c r="P10" s="63">
        <f t="shared" si="3"/>
        <v>8</v>
      </c>
      <c r="Q10" s="107"/>
      <c r="R10" s="254">
        <f>SUMIFS(Scores!D14:CA14,Scores!D$9:CA$9,"Score",Scores!B$6:BY$6,"Cup")</f>
        <v>49</v>
      </c>
      <c r="S10" s="327">
        <f>COUNTIFS(Scores!B14:BY14, "&gt;0",Scores!B$9:BY$9,"Pos #",Scores!B$6:BY$6,"Cup")</f>
        <v>1</v>
      </c>
      <c r="T10" s="258">
        <f t="shared" si="4"/>
        <v>49</v>
      </c>
      <c r="U10" s="259">
        <f>COUNTIFS(Scores!O14:CL14, "Tote",Scores!B$6:BY$6,"Cup")</f>
        <v>0</v>
      </c>
      <c r="V10" s="260">
        <f t="shared" si="5"/>
        <v>3</v>
      </c>
      <c r="W10" s="104"/>
      <c r="X10" s="332">
        <f>SUMIFS(Scores!D14:CA14,Scores!D$9:CA$9,"Score",Scores!B$6:BY$6,"League")</f>
        <v>232</v>
      </c>
      <c r="Y10" s="333">
        <f>COUNTIFS(Scores!B14:BY14, "&gt;0",Scores!B$9:BY$9,"Pos #",Scores!B$6:BY$6,"League")</f>
        <v>5</v>
      </c>
      <c r="Z10" s="299">
        <f t="shared" si="6"/>
        <v>46.4</v>
      </c>
      <c r="AA10" s="300">
        <f>COUNTIFS(Scores!O14:CL14, "Tote",Scores!B$6:BY$6,"League")</f>
        <v>0</v>
      </c>
      <c r="AB10" s="301">
        <f t="shared" si="7"/>
        <v>6</v>
      </c>
      <c r="AC10" s="107"/>
      <c r="AD10" s="88">
        <f>SUMIFS(Scores!D14:CA14,Scores!D$9:CA$9,"Score")</f>
        <v>281</v>
      </c>
      <c r="AE10" s="17">
        <f>COUNTIFS(Scores!B14:BY14, "&gt;0",Scores!B$9:BY$9,"Pos #")</f>
        <v>6</v>
      </c>
      <c r="AF10" s="18">
        <f t="shared" si="8"/>
        <v>46.8</v>
      </c>
      <c r="AG10" s="19">
        <f>COUNTIF(Scores!B14:CA14, "Tote")</f>
        <v>1</v>
      </c>
      <c r="AH10" s="73">
        <f t="shared" si="9"/>
        <v>6</v>
      </c>
      <c r="AK10" s="89"/>
      <c r="AL10" s="89"/>
    </row>
    <row r="11" spans="1:38" ht="15.75" x14ac:dyDescent="0.25">
      <c r="A11" s="28" t="str">
        <f>IF(+Scores!A15&lt;&gt;0, +Scores!A15,"")</f>
        <v>Rich A</v>
      </c>
      <c r="B11" s="45"/>
      <c r="C11" s="351">
        <f>MAX(Scores!B15:CA15)</f>
        <v>65</v>
      </c>
      <c r="D11" s="351">
        <f>COUNTIF(Scores!B15:CA15,"Tote")</f>
        <v>3</v>
      </c>
      <c r="E11" s="45"/>
      <c r="F11" s="99">
        <f>SUMIFS(Scores!D15:CA15,Scores!D$9:CA$9,"Score",Scores!B$5:BY$5,"Home")</f>
        <v>281</v>
      </c>
      <c r="G11" s="100">
        <f>COUNTIFS(Scores!B15:BY15, "&gt;0",Scores!B$9:BY$9,"Pos #",Scores!B$5:BY$5,"Home")</f>
        <v>6</v>
      </c>
      <c r="H11" s="101">
        <f t="shared" si="0"/>
        <v>46.8</v>
      </c>
      <c r="I11" s="102">
        <f>COUNTIFS(Scores!C15:BZ15, "Tote",Scores!B$5:BY$5,"Home")</f>
        <v>1</v>
      </c>
      <c r="J11" s="103">
        <f t="shared" si="1"/>
        <v>3</v>
      </c>
      <c r="K11" s="104"/>
      <c r="L11" s="105">
        <f>SUMIFS(Scores!D15:CA15,Scores!D$9:CA$9,"Score",Scores!B$5:BY$5,"Away")</f>
        <v>454</v>
      </c>
      <c r="M11" s="129">
        <f>COUNTIFS(Scores!B15:BY15, "&gt;0",Scores!B$9:BY$9,"Pos #",Scores!B$5:BY$5,"Away")</f>
        <v>9</v>
      </c>
      <c r="N11" s="16">
        <f t="shared" si="2"/>
        <v>50.4</v>
      </c>
      <c r="O11" s="106">
        <f>COUNTIFS(Scores!C15:BZ15, "Tote",Scores!B$5:BY$5,"Away")</f>
        <v>2</v>
      </c>
      <c r="P11" s="63">
        <f t="shared" si="3"/>
        <v>3.5</v>
      </c>
      <c r="Q11" s="107"/>
      <c r="R11" s="254">
        <f>SUMIFS(Scores!D15:CA15,Scores!D$9:CA$9,"Score",Scores!B$6:BY$6,"Cup")</f>
        <v>93</v>
      </c>
      <c r="S11" s="327">
        <f>COUNTIFS(Scores!B15:BY15, "&gt;0",Scores!B$9:BY$9,"Pos #",Scores!B$6:BY$6,"Cup")</f>
        <v>2</v>
      </c>
      <c r="T11" s="258">
        <f t="shared" si="4"/>
        <v>46.5</v>
      </c>
      <c r="U11" s="259">
        <f>COUNTIFS(Scores!O15:CL15, "Tote",Scores!B$6:BY$6,"Cup")</f>
        <v>0</v>
      </c>
      <c r="V11" s="260">
        <f t="shared" si="5"/>
        <v>4</v>
      </c>
      <c r="W11" s="104"/>
      <c r="X11" s="332">
        <f>SUMIFS(Scores!D15:CA15,Scores!D$9:CA$9,"Score",Scores!B$6:BY$6,"League")</f>
        <v>642</v>
      </c>
      <c r="Y11" s="333">
        <f>COUNTIFS(Scores!B15:BY15, "&gt;0",Scores!B$9:BY$9,"Pos #",Scores!B$6:BY$6,"League")</f>
        <v>13</v>
      </c>
      <c r="Z11" s="299">
        <f t="shared" si="6"/>
        <v>49.4</v>
      </c>
      <c r="AA11" s="300">
        <f>COUNTIFS(Scores!O15:CL15, "Tote",Scores!B$6:BY$6,"League")</f>
        <v>2</v>
      </c>
      <c r="AB11" s="301">
        <f t="shared" si="7"/>
        <v>1</v>
      </c>
      <c r="AC11" s="107"/>
      <c r="AD11" s="88">
        <f>SUMIFS(Scores!D15:CA15,Scores!D$9:CA$9,"Score")</f>
        <v>735</v>
      </c>
      <c r="AE11" s="17">
        <f>COUNTIFS(Scores!B15:BY15, "&gt;0",Scores!B$9:BY$9,"Pos #")</f>
        <v>15</v>
      </c>
      <c r="AF11" s="18">
        <f t="shared" si="8"/>
        <v>49</v>
      </c>
      <c r="AG11" s="19">
        <f>COUNTIF(Scores!B15:CA15, "Tote")</f>
        <v>3</v>
      </c>
      <c r="AH11" s="73">
        <f t="shared" si="9"/>
        <v>3</v>
      </c>
      <c r="AK11" s="89"/>
      <c r="AL11" s="89"/>
    </row>
    <row r="12" spans="1:38" ht="15.75" x14ac:dyDescent="0.25">
      <c r="A12" s="28" t="str">
        <f>IF(+Scores!A16&lt;&gt;0, +Scores!A16,"")</f>
        <v>Steve L</v>
      </c>
      <c r="B12" s="45"/>
      <c r="C12" s="351">
        <f>MAX(Scores!B16:CA16)</f>
        <v>65</v>
      </c>
      <c r="D12" s="351">
        <f>COUNTIF(Scores!B16:CA16,"Tote")</f>
        <v>2</v>
      </c>
      <c r="E12" s="45"/>
      <c r="F12" s="99">
        <f>SUMIFS(Scores!D16:CA16,Scores!D$9:CA$9,"Score",Scores!B$5:BY$5,"Home")</f>
        <v>273</v>
      </c>
      <c r="G12" s="100">
        <f>COUNTIFS(Scores!B16:BY16, "&gt;0",Scores!B$9:BY$9,"Pos #",Scores!B$5:BY$5,"Home")</f>
        <v>6</v>
      </c>
      <c r="H12" s="101">
        <f t="shared" si="0"/>
        <v>45.5</v>
      </c>
      <c r="I12" s="102">
        <f>COUNTIFS(Scores!C16:BZ16, "Tote",Scores!B$5:BY$5,"Home")</f>
        <v>0</v>
      </c>
      <c r="J12" s="103">
        <f t="shared" si="1"/>
        <v>6</v>
      </c>
      <c r="K12" s="104"/>
      <c r="L12" s="105">
        <f>SUMIFS(Scores!D16:CA16,Scores!D$9:CA$9,"Score",Scores!B$5:BY$5,"Away")</f>
        <v>459</v>
      </c>
      <c r="M12" s="129">
        <f>COUNTIFS(Scores!B16:BY16, "&gt;0",Scores!B$9:BY$9,"Pos #",Scores!B$5:BY$5,"Away")</f>
        <v>9</v>
      </c>
      <c r="N12" s="16">
        <f t="shared" si="2"/>
        <v>51</v>
      </c>
      <c r="O12" s="106">
        <f>COUNTIFS(Scores!C16:BZ16, "Tote",Scores!B$5:BY$5,"Away")</f>
        <v>2</v>
      </c>
      <c r="P12" s="63">
        <f t="shared" si="3"/>
        <v>2</v>
      </c>
      <c r="Q12" s="107"/>
      <c r="R12" s="254">
        <f>SUMIFS(Scores!D16:CA16,Scores!D$9:CA$9,"Score",Scores!B$6:BY$6,"Cup")</f>
        <v>90</v>
      </c>
      <c r="S12" s="327">
        <f>COUNTIFS(Scores!B16:BY16, "&gt;0",Scores!B$9:BY$9,"Pos #",Scores!B$6:BY$6,"Cup")</f>
        <v>2</v>
      </c>
      <c r="T12" s="258">
        <f t="shared" si="4"/>
        <v>45</v>
      </c>
      <c r="U12" s="259">
        <f>COUNTIFS(Scores!O16:CL16, "Tote",Scores!B$6:BY$6,"Cup")</f>
        <v>1</v>
      </c>
      <c r="V12" s="260">
        <f t="shared" si="5"/>
        <v>6</v>
      </c>
      <c r="W12" s="104"/>
      <c r="X12" s="332">
        <f>SUMIFS(Scores!D17:CA17,Scores!D$9:CA$9,"Score",Scores!B$6:BY$6,"League")</f>
        <v>347</v>
      </c>
      <c r="Y12" s="333">
        <f>COUNTIFS(Scores!B17:BY17, "&gt;0",Scores!B$9:BY$9,"Pos #",Scores!B$6:BY$6,"League")</f>
        <v>8</v>
      </c>
      <c r="Z12" s="299">
        <f t="shared" si="6"/>
        <v>43.4</v>
      </c>
      <c r="AA12" s="300">
        <f>COUNTIFS(Scores!O16:CL16, "Tote",Scores!B$6:BY$6,"League")</f>
        <v>1</v>
      </c>
      <c r="AB12" s="301">
        <f t="shared" si="7"/>
        <v>11.5</v>
      </c>
      <c r="AC12" s="107"/>
      <c r="AD12" s="88">
        <f>SUMIFS(Scores!D16:CA16,Scores!D$9:CA$9,"Score")</f>
        <v>732</v>
      </c>
      <c r="AE12" s="17">
        <f>COUNTIFS(Scores!B16:BY16, "&gt;0",Scores!B$9:BY$9,"Pos #")</f>
        <v>15</v>
      </c>
      <c r="AF12" s="18">
        <f t="shared" si="8"/>
        <v>48.8</v>
      </c>
      <c r="AG12" s="19">
        <f>COUNTIF(Scores!B16:CA16, "Tote")</f>
        <v>2</v>
      </c>
      <c r="AH12" s="73">
        <f t="shared" si="9"/>
        <v>4</v>
      </c>
      <c r="AK12" s="89"/>
      <c r="AL12" s="89"/>
    </row>
    <row r="13" spans="1:38" ht="15.75" x14ac:dyDescent="0.25">
      <c r="A13" s="28" t="str">
        <f>IF(+Scores!A17&lt;&gt;0, +Scores!A17,"")</f>
        <v>Rich W</v>
      </c>
      <c r="B13" s="45"/>
      <c r="C13" s="351">
        <f>MAX(Scores!B17:CA17)</f>
        <v>63</v>
      </c>
      <c r="D13" s="351">
        <f>COUNTIF(Scores!B17:CA17,"Tote")</f>
        <v>0</v>
      </c>
      <c r="E13" s="45"/>
      <c r="F13" s="99">
        <f>SUMIFS(Scores!D17:CA17,Scores!D$9:CA$9,"Score",Scores!B$5:BY$5,"Home")</f>
        <v>121</v>
      </c>
      <c r="G13" s="100">
        <f>COUNTIFS(Scores!B17:BY17, "&gt;0",Scores!B$9:BY$9,"Pos #",Scores!B$5:BY$5,"Home")</f>
        <v>3</v>
      </c>
      <c r="H13" s="101">
        <f t="shared" si="0"/>
        <v>40.299999999999997</v>
      </c>
      <c r="I13" s="102">
        <f>COUNTIFS(Scores!C17:BZ17, "Tote",Scores!B$5:BY$5,"Home")</f>
        <v>0</v>
      </c>
      <c r="J13" s="103">
        <f t="shared" si="1"/>
        <v>12</v>
      </c>
      <c r="K13" s="104"/>
      <c r="L13" s="105">
        <f>SUMIFS(Scores!D17:CA17,Scores!D$9:CA$9,"Score",Scores!B$5:BY$5,"Away")</f>
        <v>313</v>
      </c>
      <c r="M13" s="129">
        <f>COUNTIFS(Scores!B17:BY17, "&gt;0",Scores!B$9:BY$9,"Pos #",Scores!B$5:BY$5,"Away")</f>
        <v>7</v>
      </c>
      <c r="N13" s="16">
        <f t="shared" si="2"/>
        <v>44.7</v>
      </c>
      <c r="O13" s="106">
        <f>COUNTIFS(Scores!C17:BZ17, "Tote",Scores!B$5:BY$5,"Away")</f>
        <v>0</v>
      </c>
      <c r="P13" s="63">
        <f t="shared" si="3"/>
        <v>9</v>
      </c>
      <c r="Q13" s="107"/>
      <c r="R13" s="254">
        <f>SUMIFS(Scores!D17:CA17,Scores!D$9:CA$9,"Score",Scores!B$6:BY$6,"Cup")</f>
        <v>87</v>
      </c>
      <c r="S13" s="327">
        <f>COUNTIFS(Scores!B17:BY17, "&gt;0",Scores!B$9:BY$9,"Pos #",Scores!B$6:BY$6,"Cup")</f>
        <v>2</v>
      </c>
      <c r="T13" s="258">
        <f t="shared" si="4"/>
        <v>43.5</v>
      </c>
      <c r="U13" s="259">
        <f>COUNTIFS(Scores!O17:CL17, "Tote",Scores!B$6:BY$6,"Cup")</f>
        <v>0</v>
      </c>
      <c r="V13" s="260">
        <f t="shared" si="5"/>
        <v>8</v>
      </c>
      <c r="W13" s="104"/>
      <c r="X13" s="332">
        <f>SUMIFS(Scores!D17:CA17,Scores!D$9:CA$9,"Score",Scores!B$6:BY$6,"League")</f>
        <v>347</v>
      </c>
      <c r="Y13" s="333">
        <f>COUNTIFS(Scores!B17:BY17, "&gt;0",Scores!B$9:BY$9,"Pos #",Scores!B$6:BY$6,"League")</f>
        <v>8</v>
      </c>
      <c r="Z13" s="299">
        <f t="shared" si="6"/>
        <v>43.4</v>
      </c>
      <c r="AA13" s="300">
        <f>COUNTIFS(Scores!O17:CL17, "Tote",Scores!B$6:BY$6,"League")</f>
        <v>0</v>
      </c>
      <c r="AB13" s="301">
        <f t="shared" si="7"/>
        <v>11.5</v>
      </c>
      <c r="AC13" s="107"/>
      <c r="AD13" s="88">
        <f>SUMIFS(Scores!D17:CA17,Scores!D$9:CA$9,"Score")</f>
        <v>434</v>
      </c>
      <c r="AE13" s="17">
        <f>COUNTIFS(Scores!B17:BY17, "&gt;0",Scores!B$9:BY$9,"Pos #")</f>
        <v>10</v>
      </c>
      <c r="AF13" s="18">
        <f t="shared" si="8"/>
        <v>43.4</v>
      </c>
      <c r="AG13" s="19">
        <f>COUNTIF(Scores!B17:CA17, "Tote")</f>
        <v>0</v>
      </c>
      <c r="AH13" s="73">
        <f t="shared" si="9"/>
        <v>12</v>
      </c>
      <c r="AK13" s="89"/>
      <c r="AL13" s="89"/>
    </row>
    <row r="14" spans="1:38" ht="15.75" x14ac:dyDescent="0.25">
      <c r="A14" s="28" t="str">
        <f>IF(+Scores!A18&lt;&gt;0, +Scores!A18,"")</f>
        <v>Trevor D</v>
      </c>
      <c r="B14" s="45"/>
      <c r="C14" s="351">
        <f>MAX(Scores!B18:CA18)</f>
        <v>63</v>
      </c>
      <c r="D14" s="351">
        <f>COUNTIF(Scores!B18:CA18,"Tote")</f>
        <v>5</v>
      </c>
      <c r="E14" s="45"/>
      <c r="F14" s="99">
        <f>SUMIFS(Scores!D18:CA18,Scores!D$9:CA$9,"Score",Scores!B$5:BY$5,"Home")</f>
        <v>206.001</v>
      </c>
      <c r="G14" s="100">
        <f>COUNTIFS(Scores!B18:BY18, "&gt;0",Scores!B$9:BY$9,"Pos #",Scores!B$5:BY$5,"Home")</f>
        <v>4</v>
      </c>
      <c r="H14" s="101">
        <f t="shared" si="0"/>
        <v>51.5</v>
      </c>
      <c r="I14" s="102">
        <f>COUNTIFS(Scores!C18:BZ18, "Tote",Scores!B$5:BY$5,"Home")</f>
        <v>3</v>
      </c>
      <c r="J14" s="103">
        <f t="shared" si="1"/>
        <v>1</v>
      </c>
      <c r="K14" s="104"/>
      <c r="L14" s="105">
        <f>SUMIFS(Scores!D18:CA18,Scores!D$9:CA$9,"Score",Scores!B$5:BY$5,"Away")</f>
        <v>353</v>
      </c>
      <c r="M14" s="129">
        <f>COUNTIFS(Scores!B18:BY18, "&gt;0",Scores!B$9:BY$9,"Pos #",Scores!B$5:BY$5,"Away")</f>
        <v>7</v>
      </c>
      <c r="N14" s="16">
        <f t="shared" si="2"/>
        <v>50.4</v>
      </c>
      <c r="O14" s="106">
        <f>COUNTIFS(Scores!C18:BZ18, "Tote",Scores!B$5:BY$5,"Away")</f>
        <v>2</v>
      </c>
      <c r="P14" s="63">
        <f t="shared" si="3"/>
        <v>3.5</v>
      </c>
      <c r="Q14" s="107"/>
      <c r="R14" s="254">
        <f>SUMIFS(Scores!D18:CA18,Scores!D$9:CA$9,"Score",Scores!B$6:BY$6,"Cup")</f>
        <v>118</v>
      </c>
      <c r="S14" s="327">
        <f>COUNTIFS(Scores!B18:BY18, "&gt;0",Scores!B$9:BY$9,"Pos #",Scores!B$6:BY$6,"Cup")</f>
        <v>2</v>
      </c>
      <c r="T14" s="258">
        <f t="shared" si="4"/>
        <v>59</v>
      </c>
      <c r="U14" s="259">
        <f>COUNTIFS(Scores!O18:CL18, "Tote",Scores!B$6:BY$6,"Cup")</f>
        <v>1</v>
      </c>
      <c r="V14" s="260">
        <f t="shared" si="5"/>
        <v>2</v>
      </c>
      <c r="W14" s="104"/>
      <c r="X14" s="332">
        <f>SUMIFS(Scores!D18:CA18,Scores!D$9:CA$9,"Score",Scores!B$6:BY$6,"League")</f>
        <v>441.00099999999998</v>
      </c>
      <c r="Y14" s="333">
        <f>COUNTIFS(Scores!B18:BY18, "&gt;0",Scores!B$9:BY$9,"Pos #",Scores!B$6:BY$6,"League")</f>
        <v>9</v>
      </c>
      <c r="Z14" s="299">
        <f t="shared" si="6"/>
        <v>49</v>
      </c>
      <c r="AA14" s="300">
        <f>COUNTIFS(Scores!O18:CL18, "Tote",Scores!B$6:BY$6,"League")</f>
        <v>2</v>
      </c>
      <c r="AB14" s="301">
        <f t="shared" si="7"/>
        <v>2</v>
      </c>
      <c r="AC14" s="107"/>
      <c r="AD14" s="88">
        <f>SUMIFS(Scores!D18:CA18,Scores!D$9:CA$9,"Score")</f>
        <v>559.00099999999998</v>
      </c>
      <c r="AE14" s="17">
        <f>COUNTIFS(Scores!B18:BY18, "&gt;0",Scores!B$9:BY$9,"Pos #")</f>
        <v>11</v>
      </c>
      <c r="AF14" s="18">
        <f t="shared" si="8"/>
        <v>50.8</v>
      </c>
      <c r="AG14" s="19">
        <f>COUNTIF(Scores!B18:CA18, "Tote")</f>
        <v>5</v>
      </c>
      <c r="AH14" s="73">
        <f t="shared" si="9"/>
        <v>1</v>
      </c>
      <c r="AK14" s="89"/>
      <c r="AL14" s="89"/>
    </row>
    <row r="15" spans="1:38" ht="15.75" x14ac:dyDescent="0.25">
      <c r="A15" s="28" t="str">
        <f>IF(+Scores!A19&lt;&gt;0, +Scores!A19,"")</f>
        <v>Rod</v>
      </c>
      <c r="B15" s="45"/>
      <c r="C15" s="351">
        <f>MAX(Scores!B19:CA19)</f>
        <v>61</v>
      </c>
      <c r="D15" s="351">
        <f>COUNTIF(Scores!B19:CA19,"Tote")</f>
        <v>1</v>
      </c>
      <c r="E15" s="45"/>
      <c r="F15" s="99">
        <f>SUMIFS(Scores!D19:CA19,Scores!D$9:CA$9,"Score",Scores!B$5:BY$5,"Home")</f>
        <v>219</v>
      </c>
      <c r="G15" s="100">
        <f>COUNTIFS(Scores!B19:BY19, "&gt;0",Scores!B$9:BY$9,"Pos #",Scores!B$5:BY$5,"Home")</f>
        <v>5</v>
      </c>
      <c r="H15" s="101">
        <f t="shared" si="0"/>
        <v>43.8</v>
      </c>
      <c r="I15" s="102">
        <f>COUNTIFS(Scores!C19:BZ19, "Tote",Scores!B$5:BY$5,"Home")</f>
        <v>0</v>
      </c>
      <c r="J15" s="103">
        <f t="shared" si="1"/>
        <v>9</v>
      </c>
      <c r="K15" s="104"/>
      <c r="L15" s="105">
        <f>SUMIFS(Scores!D19:CA19,Scores!D$9:CA$9,"Score",Scores!B$5:BY$5,"Away")</f>
        <v>444</v>
      </c>
      <c r="M15" s="129">
        <f>COUNTIFS(Scores!B19:BY19, "&gt;0",Scores!B$9:BY$9,"Pos #",Scores!B$5:BY$5,"Away")</f>
        <v>9</v>
      </c>
      <c r="N15" s="16">
        <f t="shared" si="2"/>
        <v>49.3</v>
      </c>
      <c r="O15" s="106">
        <f>COUNTIFS(Scores!C19:BZ19, "Tote",Scores!B$5:BY$5,"Away")</f>
        <v>1</v>
      </c>
      <c r="P15" s="63">
        <f t="shared" si="3"/>
        <v>5</v>
      </c>
      <c r="Q15" s="107"/>
      <c r="R15" s="254">
        <f>SUMIFS(Scores!D19:CA19,Scores!D$9:CA$9,"Score",Scores!B$6:BY$6,"Cup")</f>
        <v>89</v>
      </c>
      <c r="S15" s="327">
        <f>COUNTIFS(Scores!B19:BY19, "&gt;0",Scores!B$9:BY$9,"Pos #",Scores!B$6:BY$6,"Cup")</f>
        <v>2</v>
      </c>
      <c r="T15" s="258">
        <f t="shared" si="4"/>
        <v>44.5</v>
      </c>
      <c r="U15" s="259">
        <f>COUNTIFS(Scores!O19:CL19, "Tote",Scores!B$6:BY$6,"Cup")</f>
        <v>0</v>
      </c>
      <c r="V15" s="260">
        <f t="shared" si="5"/>
        <v>7</v>
      </c>
      <c r="W15" s="104"/>
      <c r="X15" s="332">
        <f>SUMIFS(Scores!D19:CA19,Scores!D$9:CA$9,"Score",Scores!B$6:BY$6,"League")</f>
        <v>574</v>
      </c>
      <c r="Y15" s="333">
        <f>COUNTIFS(Scores!B19:BY19, "&gt;0",Scores!B$9:BY$9,"Pos #",Scores!B$6:BY$6,"League")</f>
        <v>12</v>
      </c>
      <c r="Z15" s="299">
        <f t="shared" si="6"/>
        <v>47.8</v>
      </c>
      <c r="AA15" s="300">
        <f>COUNTIFS(Scores!O19:CL19, "Tote",Scores!B$6:BY$6,"League")</f>
        <v>1</v>
      </c>
      <c r="AB15" s="301">
        <f t="shared" si="7"/>
        <v>4</v>
      </c>
      <c r="AC15" s="107"/>
      <c r="AD15" s="88">
        <f>SUMIFS(Scores!D19:CA19,Scores!D$9:CA$9,"Score")</f>
        <v>663</v>
      </c>
      <c r="AE15" s="17">
        <f>COUNTIFS(Scores!B19:BY19, "&gt;0",Scores!B$9:BY$9,"Pos #")</f>
        <v>14</v>
      </c>
      <c r="AF15" s="18">
        <f t="shared" si="8"/>
        <v>47.4</v>
      </c>
      <c r="AG15" s="19">
        <f>COUNTIF(Scores!B19:CA19, "Tote")</f>
        <v>1</v>
      </c>
      <c r="AH15" s="73">
        <f t="shared" si="9"/>
        <v>5</v>
      </c>
      <c r="AK15" s="89"/>
      <c r="AL15" s="89"/>
    </row>
    <row r="16" spans="1:38" ht="15.75" x14ac:dyDescent="0.25">
      <c r="A16" s="28" t="str">
        <f>IF(+Scores!A20&lt;&gt;0, +Scores!A20,"")</f>
        <v>Gary</v>
      </c>
      <c r="B16" s="45"/>
      <c r="C16" s="351">
        <f>MAX(Scores!B20:CA20)</f>
        <v>59</v>
      </c>
      <c r="D16" s="351">
        <f>COUNTIF(Scores!B20:CA20,"Tote")</f>
        <v>0</v>
      </c>
      <c r="E16" s="45"/>
      <c r="F16" s="99">
        <f>SUMIFS(Scores!D20:CA20,Scores!D$9:CA$9,"Score",Scores!B$5:BY$5,"Home")</f>
        <v>200</v>
      </c>
      <c r="G16" s="100">
        <f>COUNTIFS(Scores!B20:BY20, "&gt;0",Scores!B$9:BY$9,"Pos #",Scores!B$5:BY$5,"Home")</f>
        <v>5</v>
      </c>
      <c r="H16" s="101">
        <f t="shared" si="0"/>
        <v>40</v>
      </c>
      <c r="I16" s="102">
        <f>COUNTIFS(Scores!C20:BZ20, "Tote",Scores!B$5:BY$5,"Home")</f>
        <v>0</v>
      </c>
      <c r="J16" s="103">
        <f t="shared" si="1"/>
        <v>13</v>
      </c>
      <c r="K16" s="104"/>
      <c r="L16" s="105">
        <f>SUMIFS(Scores!D20:CA20,Scores!D$9:CA$9,"Score",Scores!B$5:BY$5,"Away")</f>
        <v>337</v>
      </c>
      <c r="M16" s="129">
        <f>COUNTIFS(Scores!B20:BY20, "&gt;0",Scores!B$9:BY$9,"Pos #",Scores!B$5:BY$5,"Away")</f>
        <v>7</v>
      </c>
      <c r="N16" s="16">
        <f t="shared" si="2"/>
        <v>48.1</v>
      </c>
      <c r="O16" s="106">
        <f>COUNTIFS(Scores!C20:BZ20, "Tote",Scores!B$5:BY$5,"Away")</f>
        <v>0</v>
      </c>
      <c r="P16" s="63">
        <f t="shared" si="3"/>
        <v>6</v>
      </c>
      <c r="Q16" s="107"/>
      <c r="R16" s="254">
        <f>SUMIFS(Scores!D20:CA20,Scores!D$9:CA$9,"Score",Scores!B$6:BY$6,"Cup")</f>
        <v>81</v>
      </c>
      <c r="S16" s="327">
        <f>COUNTIFS(Scores!B20:BY20, "&gt;0",Scores!B$9:BY$9,"Pos #",Scores!B$6:BY$6,"Cup")</f>
        <v>2</v>
      </c>
      <c r="T16" s="258">
        <f t="shared" si="4"/>
        <v>40.5</v>
      </c>
      <c r="U16" s="259">
        <f>COUNTIFS(Scores!O20:CL20, "Tote",Scores!B$6:BY$6,"Cup")</f>
        <v>0</v>
      </c>
      <c r="V16" s="260">
        <f t="shared" si="5"/>
        <v>11</v>
      </c>
      <c r="W16" s="104"/>
      <c r="X16" s="332">
        <f>SUMIFS(Scores!D20:CA20,Scores!D$9:CA$9,"Score",Scores!B$6:BY$6,"League")</f>
        <v>456</v>
      </c>
      <c r="Y16" s="333">
        <f>COUNTIFS(Scores!B20:BY20, "&gt;0",Scores!B$9:BY$9,"Pos #",Scores!B$6:BY$6,"League")</f>
        <v>10</v>
      </c>
      <c r="Z16" s="299">
        <f t="shared" si="6"/>
        <v>45.6</v>
      </c>
      <c r="AA16" s="300">
        <f>COUNTIFS(Scores!O20:CL20, "Tote",Scores!B$6:BY$6,"League")</f>
        <v>0</v>
      </c>
      <c r="AB16" s="301">
        <f t="shared" si="7"/>
        <v>7</v>
      </c>
      <c r="AC16" s="107"/>
      <c r="AD16" s="88">
        <f>SUMIFS(Scores!D20:CA20,Scores!D$9:CA$9,"Score")</f>
        <v>537</v>
      </c>
      <c r="AE16" s="17">
        <f>COUNTIFS(Scores!B20:BY20, "&gt;0",Scores!B$9:BY$9,"Pos #")</f>
        <v>12</v>
      </c>
      <c r="AF16" s="18">
        <f t="shared" si="8"/>
        <v>44.8</v>
      </c>
      <c r="AG16" s="19">
        <f>COUNTIF(Scores!B20:CA20, "Tote")</f>
        <v>0</v>
      </c>
      <c r="AH16" s="73">
        <f t="shared" si="9"/>
        <v>9</v>
      </c>
      <c r="AK16" s="89"/>
      <c r="AL16" s="89"/>
    </row>
    <row r="17" spans="1:38" ht="15.75" x14ac:dyDescent="0.25">
      <c r="A17" s="28" t="str">
        <f>IF(+Scores!A21&lt;&gt;0, +Scores!A21,"")</f>
        <v>Pete P</v>
      </c>
      <c r="B17" s="45"/>
      <c r="C17" s="351">
        <f>MAX(Scores!B21:CA21)</f>
        <v>55.000100000000003</v>
      </c>
      <c r="D17" s="351">
        <f>COUNTIF(Scores!B21:CA21,"Tote")</f>
        <v>1</v>
      </c>
      <c r="E17" s="45"/>
      <c r="F17" s="99">
        <f>SUMIFS(Scores!D21:CA21,Scores!D$9:CA$9,"Score",Scores!B$5:BY$5,"Home")</f>
        <v>127</v>
      </c>
      <c r="G17" s="100">
        <f>COUNTIFS(Scores!B21:BY21, "&gt;0",Scores!B$9:BY$9,"Pos #",Scores!B$5:BY$5,"Home")</f>
        <v>3</v>
      </c>
      <c r="H17" s="101">
        <f t="shared" si="0"/>
        <v>42.3</v>
      </c>
      <c r="I17" s="102">
        <f>COUNTIFS(Scores!C21:BZ21, "Tote",Scores!B$5:BY$5,"Home")</f>
        <v>0</v>
      </c>
      <c r="J17" s="103">
        <f t="shared" si="1"/>
        <v>11</v>
      </c>
      <c r="K17" s="104"/>
      <c r="L17" s="105">
        <f>SUMIFS(Scores!D21:CA21,Scores!D$9:CA$9,"Score",Scores!B$5:BY$5,"Away")</f>
        <v>340.00009999999997</v>
      </c>
      <c r="M17" s="129">
        <f>COUNTIFS(Scores!B21:BY21, "&gt;0",Scores!B$9:BY$9,"Pos #",Scores!B$5:BY$5,"Away")</f>
        <v>8</v>
      </c>
      <c r="N17" s="16">
        <f t="shared" si="2"/>
        <v>42.5</v>
      </c>
      <c r="O17" s="106">
        <f>COUNTIFS(Scores!C21:BZ21, "Tote",Scores!B$5:BY$5,"Away")</f>
        <v>1</v>
      </c>
      <c r="P17" s="63">
        <f t="shared" si="3"/>
        <v>11</v>
      </c>
      <c r="Q17" s="107"/>
      <c r="R17" s="254">
        <f>SUMIFS(Scores!D21:CA21,Scores!D$9:CA$9,"Score",Scores!B$6:BY$6,"Cup")</f>
        <v>85</v>
      </c>
      <c r="S17" s="327">
        <f>COUNTIFS(Scores!B21:BY21, "&gt;0",Scores!B$9:BY$9,"Pos #",Scores!B$6:BY$6,"Cup")</f>
        <v>2</v>
      </c>
      <c r="T17" s="258">
        <f t="shared" si="4"/>
        <v>42.5</v>
      </c>
      <c r="U17" s="259">
        <f>COUNTIFS(Scores!O21:CL21, "Tote",Scores!B$6:BY$6,"Cup")</f>
        <v>0</v>
      </c>
      <c r="V17" s="260">
        <f>IF(ISNUMBER(T17),_xlfn.RANK.AVG(T17,T$7:T$21,0),"")</f>
        <v>9</v>
      </c>
      <c r="W17" s="104"/>
      <c r="X17" s="332">
        <f>SUMIFS(Scores!D21:CA21,Scores!D$9:CA$9,"Score",Scores!B$6:BY$6,"League")</f>
        <v>382.00009999999997</v>
      </c>
      <c r="Y17" s="333">
        <f>COUNTIFS(Scores!B21:BY21, "&gt;0",Scores!B$9:BY$9,"Pos #",Scores!B$6:BY$6,"League")</f>
        <v>9</v>
      </c>
      <c r="Z17" s="299">
        <f t="shared" si="6"/>
        <v>42.4</v>
      </c>
      <c r="AA17" s="300">
        <f>COUNTIFS(Scores!O21:CL21, "Tote",Scores!B$6:BY$6,"League")</f>
        <v>1</v>
      </c>
      <c r="AB17" s="301">
        <f t="shared" si="7"/>
        <v>13</v>
      </c>
      <c r="AC17" s="107"/>
      <c r="AD17" s="88">
        <f>SUMIFS(Scores!D21:CA21,Scores!D$9:CA$9,"Score")</f>
        <v>467.00009999999997</v>
      </c>
      <c r="AE17" s="17">
        <f>COUNTIFS(Scores!B21:BY21, "&gt;0",Scores!B$9:BY$9,"Pos #")</f>
        <v>11</v>
      </c>
      <c r="AF17" s="18">
        <f t="shared" si="8"/>
        <v>42.5</v>
      </c>
      <c r="AG17" s="19">
        <f>COUNTIF(Scores!B21:CA21, "Tote")</f>
        <v>1</v>
      </c>
      <c r="AH17" s="73">
        <f t="shared" si="9"/>
        <v>13</v>
      </c>
      <c r="AL17" s="89"/>
    </row>
    <row r="18" spans="1:38" ht="15.75" x14ac:dyDescent="0.25">
      <c r="A18" s="28" t="str">
        <f>IF(+Scores!A22&lt;&gt;0, +Scores!A22,"")</f>
        <v>Stewart Denny</v>
      </c>
      <c r="B18" s="45"/>
      <c r="C18" s="351">
        <f>MAX(Scores!B22:CA22)</f>
        <v>42</v>
      </c>
      <c r="D18" s="351">
        <f>COUNTIF(Scores!B22:CA22,"Tote")</f>
        <v>0</v>
      </c>
      <c r="E18" s="45"/>
      <c r="F18" s="99">
        <f>SUMIFS(Scores!D22:CA22,Scores!D$9:CA$9,"Score",Scores!B$5:BY$5,"Home")</f>
        <v>0</v>
      </c>
      <c r="G18" s="100">
        <f>COUNTIFS(Scores!B22:BY22, "&gt;0",Scores!B$9:BY$9,"Pos #",Scores!B$5:BY$5,"Home")</f>
        <v>0</v>
      </c>
      <c r="H18" s="101" t="str">
        <f t="shared" si="0"/>
        <v/>
      </c>
      <c r="I18" s="102">
        <f>COUNTIFS(Scores!C22:BZ22, "Tote",Scores!B$5:BY$5,"Home")</f>
        <v>0</v>
      </c>
      <c r="J18" s="103" t="str">
        <f t="shared" si="1"/>
        <v/>
      </c>
      <c r="K18" s="104"/>
      <c r="L18" s="105">
        <f>SUMIFS(Scores!D22:CA22,Scores!D$9:CA$9,"Score",Scores!B$5:BY$5,"Away")</f>
        <v>42</v>
      </c>
      <c r="M18" s="129">
        <f>COUNTIFS(Scores!B22:BY22, "&gt;0",Scores!B$9:BY$9,"Pos #",Scores!B$5:BY$5,"Away")</f>
        <v>1</v>
      </c>
      <c r="N18" s="16">
        <f t="shared" si="2"/>
        <v>42</v>
      </c>
      <c r="O18" s="106">
        <f>COUNTIFS(Scores!C22:BZ22, "Tote",Scores!B$5:BY$5,"Away")</f>
        <v>0</v>
      </c>
      <c r="P18" s="63">
        <f t="shared" si="3"/>
        <v>12</v>
      </c>
      <c r="Q18" s="107"/>
      <c r="R18" s="254">
        <f>SUMIFS(Scores!D22:CA22,Scores!D$9:CA$9,"Score",Scores!B$6:BY$6,"Cup")</f>
        <v>0</v>
      </c>
      <c r="S18" s="327">
        <f>COUNTIFS(Scores!B22:BY22, "&gt;0",Scores!B$9:BY$9,"Pos #",Scores!B$6:BY$6,"Cup")</f>
        <v>0</v>
      </c>
      <c r="T18" s="258" t="str">
        <f t="shared" si="4"/>
        <v/>
      </c>
      <c r="U18" s="259">
        <f>COUNTIFS(Scores!O22:CL22, "Tote",Scores!B$6:BY$6,"Home")</f>
        <v>0</v>
      </c>
      <c r="V18" s="260" t="str">
        <f>IF(ISNUMBER(T18),_xlfn.RANK.AVG(T18,T$7:T$21,0),"")</f>
        <v/>
      </c>
      <c r="W18" s="104"/>
      <c r="X18" s="332">
        <f>SUMIFS(Scores!D22:CA22,Scores!D$9:CA$9,"Score",Scores!B$6:BY$6,"League")</f>
        <v>42</v>
      </c>
      <c r="Y18" s="333">
        <f>COUNTIFS(Scores!B22:BY22, "&gt;0",Scores!B$9:BY$9,"Pos #",Scores!B$6:BY$6,"League")</f>
        <v>1</v>
      </c>
      <c r="Z18" s="299">
        <f t="shared" si="6"/>
        <v>42</v>
      </c>
      <c r="AA18" s="300">
        <f>COUNTIFS(Scores!O22:CL22, "Tote",Scores!B$6:BY$6,"Away")</f>
        <v>0</v>
      </c>
      <c r="AB18" s="301">
        <f t="shared" si="7"/>
        <v>14</v>
      </c>
      <c r="AC18" s="107"/>
      <c r="AD18" s="88">
        <f>SUMIFS(Scores!D22:CA22,Scores!D$9:CA$9,"Score")</f>
        <v>42</v>
      </c>
      <c r="AE18" s="17">
        <f>COUNTIFS(Scores!B22:BY22, "&gt;0",Scores!B$9:BY$9,"Pos #")</f>
        <v>1</v>
      </c>
      <c r="AF18" s="18">
        <f t="shared" si="8"/>
        <v>42</v>
      </c>
      <c r="AG18" s="19">
        <f>COUNTIF(Scores!B22:CA22, "Tote")</f>
        <v>0</v>
      </c>
      <c r="AH18" s="73">
        <f t="shared" si="9"/>
        <v>14</v>
      </c>
    </row>
    <row r="19" spans="1:38" ht="15.75" x14ac:dyDescent="0.25">
      <c r="A19" s="28" t="str">
        <f>IF(+Scores!A23&lt;&gt;0, +Scores!A23,"")</f>
        <v>Ben Small</v>
      </c>
      <c r="B19" s="45"/>
      <c r="C19" s="351">
        <f>MAX(Scores!B23:CA23)</f>
        <v>44</v>
      </c>
      <c r="D19" s="351">
        <f>COUNTIF(Scores!B23:CA23,"Tote")</f>
        <v>0</v>
      </c>
      <c r="E19" s="45"/>
      <c r="F19" s="99">
        <f>SUMIFS(Scores!D23:CA23,Scores!D$9:CA$9,"Score",Scores!B$5:BY$5,"Home")</f>
        <v>44</v>
      </c>
      <c r="G19" s="100">
        <f>COUNTIFS(Scores!B23:BY23, "&gt;0",Scores!B$9:BY$9,"Pos #",Scores!B$5:BY$5,"Home")</f>
        <v>1</v>
      </c>
      <c r="H19" s="101">
        <f>IF((G19&gt;0),ROUND(F19/G19,1),"")</f>
        <v>44</v>
      </c>
      <c r="I19" s="102">
        <f>COUNTIFS(Scores!C23:BZ23, "Tote",Scores!B$5:BY$5,"Home")</f>
        <v>0</v>
      </c>
      <c r="J19" s="103">
        <f>IF(ISNUMBER(H19),_xlfn.RANK.AVG(H19,H$7:H$21,0),"")</f>
        <v>7.5</v>
      </c>
      <c r="K19" s="104"/>
      <c r="L19" s="105">
        <f>SUMIFS(Scores!D23:CA23,Scores!D$9:CA$9,"Score",Scores!B$5:BY$5,"Away")</f>
        <v>0</v>
      </c>
      <c r="M19" s="129">
        <f>COUNTIFS(Scores!B23:BY23, "&gt;0",Scores!B$9:BY$9,"Pos #",Scores!B$5:BY$5,"Away")</f>
        <v>0</v>
      </c>
      <c r="N19" s="16" t="str">
        <f>IF((M19&gt;0),ROUND(L19/M19,1),"")</f>
        <v/>
      </c>
      <c r="O19" s="106">
        <f>COUNTIFS(Scores!C23:BZ23, "Tote",Scores!B$5:BY$5,"Away")</f>
        <v>0</v>
      </c>
      <c r="P19" s="63" t="str">
        <f>IF(ISNUMBER(N19),_xlfn.RANK.AVG(N19,N$7:N$21,0),"")</f>
        <v/>
      </c>
      <c r="Q19" s="107"/>
      <c r="R19" s="254">
        <f>SUMIFS(Scores!D23:CA23,Scores!D$9:CA$9,"Score",Scores!B$6:BY$6,"Cup")</f>
        <v>0</v>
      </c>
      <c r="S19" s="327">
        <f>COUNTIFS(Scores!B23:BY23, "&gt;0",Scores!B$9:BY$9,"Pos #",Scores!B$6:BY$6,"Cup")</f>
        <v>0</v>
      </c>
      <c r="T19" s="258" t="str">
        <f>IF((S19&gt;0),ROUND(R19/S19,1),"")</f>
        <v/>
      </c>
      <c r="U19" s="259">
        <f>COUNTIFS(Scores!O23:CL23, "Tote",Scores!B$6:BY$6,"Home")</f>
        <v>0</v>
      </c>
      <c r="V19" s="260" t="str">
        <f>IF(ISNUMBER(T19),_xlfn.RANK.AVG(T19,T$7:T$21,0),"")</f>
        <v/>
      </c>
      <c r="W19" s="104"/>
      <c r="X19" s="332">
        <f>SUMIFS(Scores!D23:CA23,Scores!D$9:CA$9,"Score",Scores!B$6:BY$6,"League")</f>
        <v>44</v>
      </c>
      <c r="Y19" s="333">
        <f>COUNTIFS(Scores!B23:BY23, "&gt;0",Scores!B$9:BY$9,"Pos #",Scores!B$6:BY$6,"League")</f>
        <v>1</v>
      </c>
      <c r="Z19" s="299">
        <f>IF((Y19&gt;0),ROUND(X19/Y19,1),"")</f>
        <v>44</v>
      </c>
      <c r="AA19" s="300">
        <f>COUNTIFS(Scores!O23:CL23, "Tote",Scores!B$6:BY$6,"Away")</f>
        <v>0</v>
      </c>
      <c r="AB19" s="301">
        <f>IF(ISNUMBER(Z19),_xlfn.RANK.AVG(Z19,Z$7:Z$21,0),"")</f>
        <v>9.5</v>
      </c>
      <c r="AC19" s="107"/>
      <c r="AD19" s="88">
        <f>SUMIFS(Scores!D23:CA23,Scores!D$9:CA$9,"Score")</f>
        <v>44</v>
      </c>
      <c r="AE19" s="17">
        <f>COUNTIFS(Scores!B23:BY23, "&gt;0",Scores!B$9:BY$9,"Pos #")</f>
        <v>1</v>
      </c>
      <c r="AF19" s="18">
        <f>IF((AE19&gt;0),ROUND(AD19/AE19,1),"")</f>
        <v>44</v>
      </c>
      <c r="AG19" s="19">
        <f>COUNTIF(Scores!B23:CA23, "Tote")</f>
        <v>0</v>
      </c>
      <c r="AH19" s="73">
        <f>IF(ISNUMBER(AF19),_xlfn.RANK.AVG(AF19,AF$7:AF$21,0),"")</f>
        <v>10.5</v>
      </c>
    </row>
    <row r="20" spans="1:38" ht="15.75" x14ac:dyDescent="0.25">
      <c r="A20" s="28" t="str">
        <f>IF(+Scores!A24&lt;&gt;0, +Scores!A24,"")</f>
        <v>Charlotte</v>
      </c>
      <c r="B20" s="45"/>
      <c r="C20" s="351">
        <f>MAX(Scores!B24:CA24)</f>
        <v>44</v>
      </c>
      <c r="D20" s="351">
        <f>COUNTIF(Scores!B24:CA24,"Tote")</f>
        <v>0</v>
      </c>
      <c r="E20" s="45"/>
      <c r="F20" s="99">
        <f>SUMIFS(Scores!D24:CA24,Scores!D$9:CA$9,"Score",Scores!B$5:BY$5,"Home")</f>
        <v>44</v>
      </c>
      <c r="G20" s="100">
        <f>COUNTIFS(Scores!B24:BY24, "&gt;0",Scores!B$9:BY$9,"Pos #",Scores!B$5:BY$5,"Home")</f>
        <v>1</v>
      </c>
      <c r="H20" s="101">
        <f>IF((G20&gt;0),ROUND(F20/G20,1),"")</f>
        <v>44</v>
      </c>
      <c r="I20" s="102">
        <f>COUNTIFS(Scores!C24:BZ24, "Tote",Scores!B$5:BY$5,"Home")</f>
        <v>0</v>
      </c>
      <c r="J20" s="103">
        <f>IF(ISNUMBER(H20),_xlfn.RANK.AVG(H20,H$7:H$21,0),"")</f>
        <v>7.5</v>
      </c>
      <c r="K20" s="104"/>
      <c r="L20" s="105">
        <f>SUMIFS(Scores!D24:CA24,Scores!D$9:CA$9,"Score",Scores!B$5:BY$5,"Away")</f>
        <v>0</v>
      </c>
      <c r="M20" s="129">
        <f>COUNTIFS(Scores!B24:BY24, "&gt;0",Scores!B$9:BY$9,"Pos #",Scores!B$5:BY$5,"Away")</f>
        <v>0</v>
      </c>
      <c r="N20" s="16" t="str">
        <f>IF((M20&gt;0),ROUND(L20/M20,1),"")</f>
        <v/>
      </c>
      <c r="O20" s="106">
        <f>COUNTIFS(Scores!C24:BZ24, "Tote",Scores!B$5:BY$5,"Away")</f>
        <v>0</v>
      </c>
      <c r="P20" s="63" t="str">
        <f>IF(ISNUMBER(N20),_xlfn.RANK.AVG(N20,N$7:N$21,0),"")</f>
        <v/>
      </c>
      <c r="Q20" s="107"/>
      <c r="R20" s="254">
        <f>SUMIFS(Scores!D24:CA24,Scores!D$9:CA$9,"Score",Scores!B$6:BY$6,"Cup")</f>
        <v>0</v>
      </c>
      <c r="S20" s="327">
        <f>COUNTIFS(Scores!B24:BY24, "&gt;0",Scores!B$9:BY$9,"Pos #",Scores!B$6:BY$6,"Cup")</f>
        <v>0</v>
      </c>
      <c r="T20" s="258" t="str">
        <f>IF((S20&gt;0),ROUND(R20/S20,1),"")</f>
        <v/>
      </c>
      <c r="U20" s="259">
        <f>COUNTIFS(Scores!O24:CL24, "Tote",Scores!B$6:BY$6,"Home")</f>
        <v>0</v>
      </c>
      <c r="V20" s="260" t="str">
        <f>IF(ISNUMBER(T20),_xlfn.RANK.AVG(T20,T$7:T$21,0),"")</f>
        <v/>
      </c>
      <c r="W20" s="104"/>
      <c r="X20" s="332">
        <f>SUMIFS(Scores!D24:CA24,Scores!D$9:CA$9,"Score",Scores!B$6:BY$6,"League")</f>
        <v>44</v>
      </c>
      <c r="Y20" s="333">
        <f>COUNTIFS(Scores!B24:BY24, "&gt;0",Scores!B$9:BY$9,"Pos #",Scores!B$6:BY$6,"League")</f>
        <v>1</v>
      </c>
      <c r="Z20" s="299">
        <f>IF((Y20&gt;0),ROUND(X20/Y20,1),"")</f>
        <v>44</v>
      </c>
      <c r="AA20" s="300">
        <f>COUNTIFS(Scores!O24:CL24, "Tote",Scores!B$6:BY$6,"Away")</f>
        <v>0</v>
      </c>
      <c r="AB20" s="301">
        <f>IF(ISNUMBER(Z20),_xlfn.RANK.AVG(Z20,Z$7:Z$21,0),"")</f>
        <v>9.5</v>
      </c>
      <c r="AC20" s="107"/>
      <c r="AD20" s="88">
        <f>SUMIFS(Scores!D24:CA24,Scores!D$9:CA$9,"Score")</f>
        <v>44</v>
      </c>
      <c r="AE20" s="17">
        <f>COUNTIFS(Scores!B24:BY24, "&gt;0",Scores!B$9:BY$9,"Pos #")</f>
        <v>1</v>
      </c>
      <c r="AF20" s="18">
        <f>IF((AE20&gt;0),ROUND(AD20/AE20,1),"")</f>
        <v>44</v>
      </c>
      <c r="AG20" s="19">
        <f>COUNTIF(Scores!B24:CA24, "Tote")</f>
        <v>0</v>
      </c>
      <c r="AH20" s="73">
        <f>IF(ISNUMBER(AF20),_xlfn.RANK.AVG(AF20,AF$7:AF$21,0),"")</f>
        <v>10.5</v>
      </c>
    </row>
    <row r="21" spans="1:38" ht="15.75" x14ac:dyDescent="0.25">
      <c r="A21" s="28" t="str">
        <f>IF(+Scores!A25&lt;&gt;0, +Scores!A25,"")</f>
        <v/>
      </c>
      <c r="B21" s="45"/>
      <c r="C21" s="351">
        <f>MAX(Scores!B25:CA25)</f>
        <v>0</v>
      </c>
      <c r="D21" s="351">
        <f>COUNTIF(Scores!B25:CA25,"Tote")</f>
        <v>0</v>
      </c>
      <c r="E21" s="45"/>
      <c r="F21" s="99">
        <f>SUMIFS(Scores!D25:CA25,Scores!D$9:CA$9,"Score",Scores!B$5:BY$5,"Home")</f>
        <v>0</v>
      </c>
      <c r="G21" s="100">
        <f>COUNTIFS(Scores!B25:BY25, "&gt;0",Scores!B$9:BY$9,"Pos #",Scores!B$5:BY$5,"Home")</f>
        <v>0</v>
      </c>
      <c r="H21" s="101" t="str">
        <f t="shared" si="0"/>
        <v/>
      </c>
      <c r="I21" s="102">
        <f>COUNTIFS(Scores!C25:BZ25, "Tote",Scores!B$5:BY$5,"Home")</f>
        <v>0</v>
      </c>
      <c r="J21" s="103" t="str">
        <f t="shared" si="1"/>
        <v/>
      </c>
      <c r="K21" s="104"/>
      <c r="L21" s="105">
        <f>SUMIFS(Scores!D25:CA25,Scores!D$9:CA$9,"Score",Scores!B$5:BY$5,"Away")</f>
        <v>0</v>
      </c>
      <c r="M21" s="129">
        <f>COUNTIFS(Scores!B25:BY25, "&gt;0",Scores!B$9:BY$9,"Pos #",Scores!B$5:BY$5,"Away")</f>
        <v>0</v>
      </c>
      <c r="N21" s="16" t="str">
        <f t="shared" si="2"/>
        <v/>
      </c>
      <c r="O21" s="106">
        <f>COUNTIFS(Scores!C25:BZ25, "Tote",Scores!B$5:BY$5,"Away")</f>
        <v>0</v>
      </c>
      <c r="P21" s="63" t="str">
        <f t="shared" si="3"/>
        <v/>
      </c>
      <c r="Q21" s="107"/>
      <c r="R21" s="254">
        <f>SUMIFS(Scores!D25:CA25,Scores!D$9:CA$9,"Score",Scores!B$6:BY$6,"Cup")</f>
        <v>0</v>
      </c>
      <c r="S21" s="327">
        <f>COUNTIFS(Scores!B25:BY25, "&gt;0",Scores!B$9:BY$9,"Pos #",Scores!B$6:BY$6,"Cup")</f>
        <v>0</v>
      </c>
      <c r="T21" s="258" t="str">
        <f t="shared" si="4"/>
        <v/>
      </c>
      <c r="U21" s="259">
        <f>COUNTIFS(Scores!O25:CL25, "Tote",Scores!B$6:BY$6,"Home")</f>
        <v>0</v>
      </c>
      <c r="V21" s="260" t="str">
        <f>IF(ISNUMBER(T21),_xlfn.RANK.AVG(T21,T$7:T$21,0),"")</f>
        <v/>
      </c>
      <c r="W21" s="104"/>
      <c r="X21" s="332">
        <f>SUMIFS(Scores!D25:CA25,Scores!D$9:CA$9,"Score",Scores!B$6:BY$6,"League")</f>
        <v>0</v>
      </c>
      <c r="Y21" s="333">
        <f>COUNTIFS(Scores!B25:BY25, "&gt;0",Scores!B$9:BY$9,"Pos #",Scores!B$6:BY$6,"League")</f>
        <v>0</v>
      </c>
      <c r="Z21" s="299" t="str">
        <f t="shared" si="6"/>
        <v/>
      </c>
      <c r="AA21" s="300">
        <f>COUNTIFS(Scores!O25:CL25, "Tote",Scores!B$6:BY$6,"Away")</f>
        <v>0</v>
      </c>
      <c r="AB21" s="301" t="str">
        <f t="shared" si="7"/>
        <v/>
      </c>
      <c r="AC21" s="107"/>
      <c r="AD21" s="88">
        <f>SUMIFS(Scores!D25:CA25,Scores!D$9:CA$9,"Score")</f>
        <v>0</v>
      </c>
      <c r="AE21" s="17">
        <f>COUNTIFS(Scores!B25:BY25, "&gt;0",Scores!B$9:BY$9,"Pos #")</f>
        <v>0</v>
      </c>
      <c r="AF21" s="18" t="str">
        <f t="shared" si="8"/>
        <v/>
      </c>
      <c r="AG21" s="19">
        <f>COUNTIF(Scores!B25:CA25, "Tote")</f>
        <v>0</v>
      </c>
      <c r="AH21" s="73" t="str">
        <f t="shared" si="9"/>
        <v/>
      </c>
    </row>
    <row r="22" spans="1:38" ht="15.75" x14ac:dyDescent="0.25">
      <c r="A22" s="28"/>
      <c r="B22" s="45"/>
      <c r="C22" s="351"/>
      <c r="D22" s="351"/>
      <c r="E22" s="45"/>
      <c r="F22" s="99"/>
      <c r="G22" s="100"/>
      <c r="H22" s="101"/>
      <c r="I22" s="102"/>
      <c r="J22" s="103"/>
      <c r="K22" s="104"/>
      <c r="L22" s="105"/>
      <c r="M22" s="129"/>
      <c r="N22" s="16"/>
      <c r="O22" s="106"/>
      <c r="P22" s="63"/>
      <c r="Q22" s="107"/>
      <c r="R22" s="254"/>
      <c r="S22" s="327"/>
      <c r="T22" s="258"/>
      <c r="U22" s="259"/>
      <c r="V22" s="260"/>
      <c r="W22" s="104"/>
      <c r="X22" s="332"/>
      <c r="Y22" s="333"/>
      <c r="Z22" s="299"/>
      <c r="AA22" s="300"/>
      <c r="AB22" s="301"/>
      <c r="AC22" s="107"/>
      <c r="AD22" s="88"/>
      <c r="AE22" s="17"/>
      <c r="AF22" s="18"/>
      <c r="AG22" s="19"/>
      <c r="AH22" s="73"/>
    </row>
    <row r="23" spans="1:38" ht="15.75" x14ac:dyDescent="0.25">
      <c r="A23" s="28"/>
      <c r="B23" s="45"/>
      <c r="C23" s="351"/>
      <c r="D23" s="351"/>
      <c r="E23" s="45"/>
      <c r="F23" s="99"/>
      <c r="G23" s="100"/>
      <c r="H23" s="101"/>
      <c r="I23" s="102"/>
      <c r="J23" s="103"/>
      <c r="K23" s="104"/>
      <c r="L23" s="105"/>
      <c r="M23" s="129"/>
      <c r="N23" s="16"/>
      <c r="O23" s="106"/>
      <c r="P23" s="63"/>
      <c r="Q23" s="107"/>
      <c r="R23" s="254"/>
      <c r="S23" s="327"/>
      <c r="T23" s="258"/>
      <c r="U23" s="259"/>
      <c r="V23" s="260"/>
      <c r="W23" s="104"/>
      <c r="X23" s="332"/>
      <c r="Y23" s="333"/>
      <c r="Z23" s="299"/>
      <c r="AA23" s="300"/>
      <c r="AB23" s="301"/>
      <c r="AC23" s="107"/>
      <c r="AD23" s="88"/>
      <c r="AE23" s="17"/>
      <c r="AF23" s="18"/>
      <c r="AG23" s="19"/>
      <c r="AH23" s="73"/>
    </row>
    <row r="24" spans="1:38" ht="15.75" x14ac:dyDescent="0.25">
      <c r="A24" s="28"/>
      <c r="B24" s="45"/>
      <c r="C24" s="351"/>
      <c r="D24" s="351"/>
      <c r="E24" s="45"/>
      <c r="F24" s="99"/>
      <c r="G24" s="100"/>
      <c r="H24" s="101"/>
      <c r="I24" s="102"/>
      <c r="J24" s="103"/>
      <c r="K24" s="104"/>
      <c r="L24" s="105"/>
      <c r="M24" s="129"/>
      <c r="N24" s="16"/>
      <c r="O24" s="106"/>
      <c r="P24" s="63"/>
      <c r="Q24" s="107"/>
      <c r="R24" s="254"/>
      <c r="S24" s="327"/>
      <c r="T24" s="258"/>
      <c r="U24" s="259"/>
      <c r="V24" s="260"/>
      <c r="W24" s="104"/>
      <c r="X24" s="332"/>
      <c r="Y24" s="333"/>
      <c r="Z24" s="299"/>
      <c r="AA24" s="300"/>
      <c r="AB24" s="301"/>
      <c r="AC24" s="107"/>
      <c r="AD24" s="88"/>
      <c r="AE24" s="17"/>
      <c r="AF24" s="18"/>
      <c r="AG24" s="19"/>
      <c r="AH24" s="73"/>
    </row>
    <row r="25" spans="1:38" ht="15.75" x14ac:dyDescent="0.25">
      <c r="A25" s="28"/>
      <c r="B25" s="45"/>
      <c r="C25" s="351"/>
      <c r="D25" s="351"/>
      <c r="E25" s="45"/>
      <c r="F25" s="99"/>
      <c r="G25" s="100"/>
      <c r="H25" s="101"/>
      <c r="I25" s="102"/>
      <c r="J25" s="103"/>
      <c r="K25" s="104"/>
      <c r="L25" s="105"/>
      <c r="M25" s="129"/>
      <c r="N25" s="16"/>
      <c r="O25" s="106"/>
      <c r="P25" s="63"/>
      <c r="Q25" s="107"/>
      <c r="R25" s="254"/>
      <c r="S25" s="327"/>
      <c r="T25" s="258"/>
      <c r="U25" s="259"/>
      <c r="V25" s="260"/>
      <c r="W25" s="104"/>
      <c r="X25" s="332"/>
      <c r="Y25" s="333"/>
      <c r="Z25" s="299"/>
      <c r="AA25" s="300"/>
      <c r="AB25" s="301"/>
      <c r="AC25" s="107"/>
      <c r="AD25" s="88"/>
      <c r="AE25" s="17"/>
      <c r="AF25" s="18"/>
      <c r="AG25" s="19"/>
      <c r="AH25" s="73"/>
    </row>
    <row r="26" spans="1:38" ht="15.75" x14ac:dyDescent="0.25">
      <c r="A26" s="28" t="str">
        <f>IF(+Scores!A30&lt;&gt;0, +Scores!A30,"")</f>
        <v>Sgnt. Major A</v>
      </c>
      <c r="B26" s="45"/>
      <c r="C26" s="351">
        <f>MAX(Scores!B30:CA30)</f>
        <v>47</v>
      </c>
      <c r="D26" s="351">
        <f>COUNTIF(Scores!B30:CA30,"Tote")</f>
        <v>0</v>
      </c>
      <c r="E26" s="45"/>
      <c r="F26" s="99">
        <f>SUMIFS(Scores!D30:CA30,Scores!D$9:CA$9,"Score",Scores!B$5:BY$5,"Home")</f>
        <v>90</v>
      </c>
      <c r="G26" s="100">
        <f>COUNTIFS(Scores!B30:BY30, "&gt;0",Scores!B$9:BY$9,"Pos #",Scores!B$5:BY$5,"Home")</f>
        <v>2</v>
      </c>
      <c r="H26" s="101">
        <f t="shared" si="0"/>
        <v>45</v>
      </c>
      <c r="I26" s="102">
        <f>COUNTIFS(Scores!C30:BZ30, "Tote",Scores!B$5:BY$5,"Home")</f>
        <v>0</v>
      </c>
      <c r="J26" s="103"/>
      <c r="K26" s="104"/>
      <c r="L26" s="105">
        <f>SUMIFS(Scores!D30:CA30,Scores!D$9:CA$9,"Score",Scores!B$5:BY$5,"Away")</f>
        <v>37</v>
      </c>
      <c r="M26" s="129">
        <f>COUNTIFS(Scores!B30:BY30, "&gt;0",Scores!B$9:BY$9,"Pos #",Scores!B$5:BY$5,"Away")</f>
        <v>1</v>
      </c>
      <c r="N26" s="16">
        <f t="shared" si="2"/>
        <v>37</v>
      </c>
      <c r="O26" s="106">
        <f>COUNTIFS(Scores!C30:BZ30, "Tote",Scores!B$5:BY$5,"Away")</f>
        <v>0</v>
      </c>
      <c r="P26" s="63"/>
      <c r="Q26" s="107"/>
      <c r="R26" s="254">
        <f>SUMIFS(Scores!D30:CA30,Scores!D$9:CA$9,"Score",Scores!B$6:BY$6,"Cup")</f>
        <v>0</v>
      </c>
      <c r="S26" s="327">
        <f>COUNTIFS(Scores!B30:BY30, "&gt;0",Scores!B$9:BY$9,"Pos #",Scores!B$6:BY$6,"Cup")</f>
        <v>0</v>
      </c>
      <c r="T26" s="258" t="str">
        <f t="shared" si="4"/>
        <v/>
      </c>
      <c r="U26" s="259">
        <f>COUNTIFS(Scores!O30:CL30, "Tote",Scores!B$6:BY$6,"Home")</f>
        <v>0</v>
      </c>
      <c r="V26" s="260"/>
      <c r="W26" s="104"/>
      <c r="X26" s="332">
        <f>SUMIFS(Scores!D30:CA30,Scores!D$9:CA$9,"Score",Scores!B$6:BY$6,"League")</f>
        <v>127</v>
      </c>
      <c r="Y26" s="333">
        <f>COUNTIFS(Scores!B30:BY30, "&gt;0",Scores!B$9:BY$9,"Pos #",Scores!B$6:BY$6,"League")</f>
        <v>3</v>
      </c>
      <c r="Z26" s="299">
        <f t="shared" si="6"/>
        <v>42.3</v>
      </c>
      <c r="AA26" s="300">
        <f>COUNTIFS(Scores!O30:CL30, "Tote",Scores!B$6:BY$6,"Away")</f>
        <v>0</v>
      </c>
      <c r="AB26" s="301"/>
      <c r="AC26" s="107"/>
      <c r="AD26" s="88">
        <f>SUMIFS(Scores!D30:CA30,Scores!D$9:CA$9,"Score")</f>
        <v>127</v>
      </c>
      <c r="AE26" s="17">
        <f>COUNTIFS(Scores!B30:BY30, "&gt;0",Scores!B$9:BY$9,"Pos #")</f>
        <v>3</v>
      </c>
      <c r="AF26" s="18">
        <f t="shared" si="8"/>
        <v>42.3</v>
      </c>
      <c r="AG26" s="19">
        <f>COUNTIF(Scores!B30:CA30, "Tote")</f>
        <v>0</v>
      </c>
      <c r="AH26" s="73"/>
    </row>
    <row r="27" spans="1:38" ht="15.75" x14ac:dyDescent="0.25">
      <c r="A27" s="29" t="str">
        <f>IF(+Scores!A31&lt;&gt;0, +Scores!A31,"")</f>
        <v>Sgnt. Major B</v>
      </c>
      <c r="B27" s="46"/>
      <c r="C27" s="351"/>
      <c r="D27" s="351"/>
      <c r="E27" s="46"/>
      <c r="F27" s="113">
        <f>SUMIFS(Scores!D31:CA31,Scores!D$9:CA$9,"Score",Scores!B$5:BY$5,"Home")</f>
        <v>40</v>
      </c>
      <c r="G27" s="114">
        <f>COUNTIFS(Scores!B31:BY31, "&gt;0",Scores!B$9:BY$9,"Pos #",Scores!B$5:BY$5,"Home")</f>
        <v>1</v>
      </c>
      <c r="H27" s="115">
        <f t="shared" si="0"/>
        <v>40</v>
      </c>
      <c r="I27" s="116">
        <f>COUNTIFS(Scores!C31:BZ31, "Tote",Scores!B$5:BY$5,"Home")</f>
        <v>0</v>
      </c>
      <c r="J27" s="108">
        <f>IF(ISNUMBER(H27),_xlfn.RANK.AVG(H27,H$7:H$27,0),"")</f>
        <v>14.5</v>
      </c>
      <c r="K27" s="109"/>
      <c r="L27" s="117">
        <f>SUMIFS(Scores!D31:CA31,Scores!D$9:CA$9,"Score",Scores!B$5:BY$5,"Away")</f>
        <v>46</v>
      </c>
      <c r="M27" s="139">
        <f>COUNTIFS(Scores!B31:BY31, "&gt;0",Scores!B$9:BY$9,"Pos #",Scores!B$5:BY$5,"Away")</f>
        <v>1</v>
      </c>
      <c r="N27" s="118">
        <f t="shared" si="2"/>
        <v>46</v>
      </c>
      <c r="O27" s="119">
        <f>COUNTIFS(Scores!C31:BZ31, "Tote",Scores!B$5:BY$5,"Away")</f>
        <v>0</v>
      </c>
      <c r="P27" s="64">
        <f>IF(ISNUMBER(N27),_xlfn.RANK.AVG(N27,N$7:N$27,0),"")</f>
        <v>7.5</v>
      </c>
      <c r="Q27" s="110"/>
      <c r="R27" s="254">
        <f>SUMIFS(Scores!D31:CA31,Scores!D$9:CA$9,"Score",Scores!B$6:BY$6,"Cup")</f>
        <v>0</v>
      </c>
      <c r="S27" s="326">
        <f>COUNTIFS(Scores!B31:BY31, "&gt;0",Scores!B$9:BY$9,"Pos #",Scores!B$6:BY$6,"Cup")</f>
        <v>0</v>
      </c>
      <c r="T27" s="261" t="str">
        <f t="shared" si="4"/>
        <v/>
      </c>
      <c r="U27" s="262">
        <f>COUNTIFS(Scores!O31:CL31, "Tote",Scores!B$6:BY$6,"Home")</f>
        <v>0</v>
      </c>
      <c r="V27" s="263" t="str">
        <f t="shared" si="5"/>
        <v/>
      </c>
      <c r="W27" s="109"/>
      <c r="X27" s="330">
        <f>SUMIFS(Scores!D31:CA31,Scores!D$9:CA$9,"Score",Scores!B$6:BY$6,"League")</f>
        <v>86</v>
      </c>
      <c r="Y27" s="331">
        <f>COUNTIFS(Scores!B31:BY31, "&gt;0",Scores!B$9:BY$9,"Pos #",Scores!B$6:BY$6,"League")</f>
        <v>2</v>
      </c>
      <c r="Z27" s="302">
        <f t="shared" si="6"/>
        <v>43</v>
      </c>
      <c r="AA27" s="303">
        <f>COUNTIFS(Scores!O31:CL31, "Tote",Scores!B$6:BY$6,"Away")</f>
        <v>0</v>
      </c>
      <c r="AB27" s="304">
        <f>IF(ISNUMBER(Z27),_xlfn.RANK.AVG(Z27,Z$7:Z$27,0),"")</f>
        <v>13</v>
      </c>
      <c r="AC27" s="110"/>
      <c r="AD27" s="120">
        <f>SUMIFS(Scores!D31:CA31,Scores!D$9:CA$9,"Score")</f>
        <v>86</v>
      </c>
      <c r="AE27" s="24">
        <f>COUNTIFS(Scores!B31:BY31, "&gt;0",Scores!B$9:BY$9,"Pos #")</f>
        <v>2</v>
      </c>
      <c r="AF27" s="121">
        <f t="shared" si="8"/>
        <v>43</v>
      </c>
      <c r="AG27" s="122">
        <f>COUNTIF(Scores!B31:CA31, "Tote")</f>
        <v>0</v>
      </c>
      <c r="AH27" s="74">
        <f>IF(ISNUMBER(AF27),_xlfn.RANK.AVG(AF27,AF$7:AF$27,0),"")</f>
        <v>13</v>
      </c>
    </row>
    <row r="28" spans="1:38" s="131" customFormat="1" ht="16.5" thickBot="1" x14ac:dyDescent="0.3">
      <c r="A28" s="42" t="s">
        <v>4</v>
      </c>
      <c r="B28" s="140"/>
      <c r="C28" s="140"/>
      <c r="D28" s="140"/>
      <c r="E28" s="140"/>
      <c r="F28" s="123">
        <f>SUMIFS(Scores!D32:CA32,Scores!D$9:CA$9,"Score",Scores!B$5:BY$5,"Home")</f>
        <v>2201.0010000000002</v>
      </c>
      <c r="G28" s="20"/>
      <c r="H28" s="21">
        <f>ROUND(F28/SUM(G7:G27),1)</f>
        <v>44.9</v>
      </c>
      <c r="I28" s="20"/>
      <c r="J28" s="124"/>
      <c r="K28" s="15"/>
      <c r="L28" s="125">
        <f>SUMIFS(Scores!D32:CA32,Scores!D$9:CA$9,"Score",Scores!B$5:BY$5,"Away")</f>
        <v>3765.0001000000002</v>
      </c>
      <c r="M28" s="9"/>
      <c r="N28" s="23">
        <f>ROUND(L28/SUM(M7:M27),1)</f>
        <v>47.7</v>
      </c>
      <c r="O28" s="9"/>
      <c r="P28" s="126"/>
      <c r="Q28" s="15"/>
      <c r="R28" s="264">
        <f>SUMIFS(Scores!D32:CA32,Scores!D$9:CA$9,"Score",Scores!B$6:BY$6,"Cup")</f>
        <v>842</v>
      </c>
      <c r="S28" s="265"/>
      <c r="T28" s="266">
        <f>ROUND(R28/SUM(S7:S27),1)</f>
        <v>46.8</v>
      </c>
      <c r="U28" s="265"/>
      <c r="V28" s="267"/>
      <c r="W28" s="15"/>
      <c r="X28" s="305">
        <f>SUMIFS(Scores!D32:CA32,Scores!D$9:CA$9,"Score",Scores!B$6:BY$6,"League")</f>
        <v>5124.0010999999995</v>
      </c>
      <c r="Y28" s="306"/>
      <c r="Z28" s="307">
        <f>ROUND(X28/SUM(Y7:Y27),1)</f>
        <v>48.8</v>
      </c>
      <c r="AA28" s="306"/>
      <c r="AB28" s="308"/>
      <c r="AC28" s="15"/>
      <c r="AD28" s="127">
        <f>SUMIFS(Scores!B32:CA32,Scores!B$9:CA$9,"Score")</f>
        <v>5966.0011000000004</v>
      </c>
      <c r="AE28" s="25"/>
      <c r="AF28" s="26">
        <f>ROUND(AD28/SUM(AE7:AE27),1)</f>
        <v>46.6</v>
      </c>
      <c r="AG28" s="25"/>
      <c r="AH28" s="128"/>
    </row>
    <row r="29" spans="1:38" ht="15.75" thickTop="1" x14ac:dyDescent="0.25"/>
    <row r="31" spans="1:38" ht="15.75" x14ac:dyDescent="0.25">
      <c r="A31" s="200" t="s">
        <v>19</v>
      </c>
      <c r="B31" s="145"/>
      <c r="C31" s="145"/>
      <c r="D31" s="145"/>
      <c r="E31" s="145"/>
      <c r="F31" s="174">
        <f>COUNTIFS(Scores!D$38:CA$38, "Win",Scores!B$5:BY$5,"Home")</f>
        <v>6</v>
      </c>
      <c r="G31" s="175">
        <f>+F31/F$34</f>
        <v>1</v>
      </c>
      <c r="H31" s="176"/>
      <c r="I31" s="176"/>
      <c r="J31" s="177"/>
      <c r="K31" s="149"/>
      <c r="L31" s="130">
        <f>COUNTIFS(Scores!D$38:CA$38, "Win",Scores!B$5:BY$5,"Away")</f>
        <v>6</v>
      </c>
      <c r="M31" s="150">
        <f>+L31/L$34</f>
        <v>0.66666666666666663</v>
      </c>
      <c r="N31" s="151"/>
      <c r="O31" s="151"/>
      <c r="P31" s="152"/>
      <c r="Q31" s="149"/>
      <c r="R31" s="268">
        <f>COUNTIFS(Scores!D$38:CA$38, "Win",Scores!B$6:BY$6,"Cup")</f>
        <v>1</v>
      </c>
      <c r="S31" s="269">
        <f>+R31/R$34</f>
        <v>0.5</v>
      </c>
      <c r="T31" s="270"/>
      <c r="U31" s="270"/>
      <c r="V31" s="271"/>
      <c r="W31" s="149"/>
      <c r="X31" s="309">
        <f>COUNTIFS(Scores!D$38:CA$38, "Win",Scores!B$6:BY$6,"League")</f>
        <v>11</v>
      </c>
      <c r="Y31" s="310">
        <f>+X31/X$34</f>
        <v>0.84615384615384615</v>
      </c>
      <c r="Z31" s="311"/>
      <c r="AA31" s="311"/>
      <c r="AB31" s="312"/>
      <c r="AC31" s="149"/>
      <c r="AD31" s="153">
        <f>COUNTIF(Scores!B38:CA38, "Win")</f>
        <v>12</v>
      </c>
      <c r="AE31" s="146">
        <f>+AD31/AD$34</f>
        <v>0.8</v>
      </c>
      <c r="AF31" s="147"/>
      <c r="AG31" s="147"/>
      <c r="AH31" s="148"/>
    </row>
    <row r="32" spans="1:38" ht="15.75" x14ac:dyDescent="0.25">
      <c r="A32" s="201" t="s">
        <v>21</v>
      </c>
      <c r="B32" s="154"/>
      <c r="C32" s="154"/>
      <c r="D32" s="154"/>
      <c r="E32" s="154"/>
      <c r="F32" s="178">
        <f>COUNTIFS(Scores!D$38:CA$38, "Loss",Scores!B$5:BY$5,"Home")</f>
        <v>0</v>
      </c>
      <c r="G32" s="179">
        <f>+F32/F$34</f>
        <v>0</v>
      </c>
      <c r="H32" s="180"/>
      <c r="I32" s="180"/>
      <c r="J32" s="181"/>
      <c r="K32" s="158"/>
      <c r="L32" s="159">
        <f>COUNTIFS(Scores!D$38:CA$38, "Loss",Scores!B$5:BY$5,"Away")</f>
        <v>3</v>
      </c>
      <c r="M32" s="160">
        <f>+L32/L$34</f>
        <v>0.33333333333333331</v>
      </c>
      <c r="N32" s="161"/>
      <c r="O32" s="161"/>
      <c r="P32" s="162"/>
      <c r="Q32" s="158"/>
      <c r="R32" s="272">
        <f>COUNTIFS(Scores!D$38:CA$38, "Loss",Scores!B$6:BY$6,"Cup")</f>
        <v>1</v>
      </c>
      <c r="S32" s="273">
        <f>+R32/R$34</f>
        <v>0.5</v>
      </c>
      <c r="T32" s="274"/>
      <c r="U32" s="274"/>
      <c r="V32" s="275"/>
      <c r="W32" s="158"/>
      <c r="X32" s="313">
        <f>COUNTIFS(Scores!D$38:CA$38, "Loss",Scores!B$6:BY$6,"League")</f>
        <v>2</v>
      </c>
      <c r="Y32" s="314">
        <f>+X32/X$34</f>
        <v>0.15384615384615385</v>
      </c>
      <c r="Z32" s="315"/>
      <c r="AA32" s="315"/>
      <c r="AB32" s="316"/>
      <c r="AC32" s="158"/>
      <c r="AD32" s="163">
        <f>COUNTIF(Scores!B38:CA38, "Loss")</f>
        <v>3</v>
      </c>
      <c r="AE32" s="155">
        <f>+AD32/AD$34</f>
        <v>0.2</v>
      </c>
      <c r="AF32" s="156"/>
      <c r="AG32" s="156"/>
      <c r="AH32" s="157"/>
    </row>
    <row r="33" spans="1:34" ht="15.75" x14ac:dyDescent="0.25">
      <c r="A33" s="202" t="s">
        <v>22</v>
      </c>
      <c r="B33" s="164"/>
      <c r="C33" s="164"/>
      <c r="D33" s="164"/>
      <c r="E33" s="164"/>
      <c r="F33" s="182">
        <f>COUNTIFS(Scores!D$38:CA$38, "Draw",Scores!B$5:BY$5,"Home")</f>
        <v>0</v>
      </c>
      <c r="G33" s="183">
        <f>+F33/F$34</f>
        <v>0</v>
      </c>
      <c r="H33" s="184"/>
      <c r="I33" s="184"/>
      <c r="J33" s="185"/>
      <c r="K33" s="168"/>
      <c r="L33" s="169">
        <f>COUNTIFS(Scores!D$38:CA$38, "Draw",Scores!B$5:BY$5,"Away")</f>
        <v>0</v>
      </c>
      <c r="M33" s="170">
        <f>+L33/L$34</f>
        <v>0</v>
      </c>
      <c r="N33" s="171"/>
      <c r="O33" s="171"/>
      <c r="P33" s="172"/>
      <c r="Q33" s="168"/>
      <c r="R33" s="276">
        <f>COUNTIFS(Scores!D$38:CA$38, "Draw",Scores!B$6:BY$6,"Cup")</f>
        <v>0</v>
      </c>
      <c r="S33" s="277">
        <f>+R33/R$34</f>
        <v>0</v>
      </c>
      <c r="T33" s="278"/>
      <c r="U33" s="278"/>
      <c r="V33" s="279"/>
      <c r="W33" s="168"/>
      <c r="X33" s="317">
        <f>COUNTIFS(Scores!D$38:CA$38, "Draw",Scores!B$6:BY$6,"League")</f>
        <v>0</v>
      </c>
      <c r="Y33" s="318">
        <f>+X33/X$34</f>
        <v>0</v>
      </c>
      <c r="Z33" s="319"/>
      <c r="AA33" s="319"/>
      <c r="AB33" s="320"/>
      <c r="AC33" s="168"/>
      <c r="AD33" s="173">
        <f>COUNTIF(Scores!B38:CA38, "Draw")</f>
        <v>0</v>
      </c>
      <c r="AE33" s="165">
        <f>+AD33/AD$34</f>
        <v>0</v>
      </c>
      <c r="AF33" s="166"/>
      <c r="AG33" s="166"/>
      <c r="AH33" s="167"/>
    </row>
    <row r="34" spans="1:34" s="131" customFormat="1" ht="16.5" thickBot="1" x14ac:dyDescent="0.3">
      <c r="A34" s="199" t="s">
        <v>20</v>
      </c>
      <c r="B34" s="138"/>
      <c r="C34" s="138"/>
      <c r="D34" s="138"/>
      <c r="E34" s="138"/>
      <c r="F34" s="186">
        <f>SUM(F31:F33)</f>
        <v>6</v>
      </c>
      <c r="G34" s="134"/>
      <c r="H34" s="135"/>
      <c r="I34" s="135"/>
      <c r="J34" s="187"/>
      <c r="L34" s="143">
        <f>SUM(L31:L33)</f>
        <v>9</v>
      </c>
      <c r="M34" s="132"/>
      <c r="N34" s="133"/>
      <c r="O34" s="133"/>
      <c r="P34" s="144"/>
      <c r="R34" s="280">
        <f>SUM(R31:R33)</f>
        <v>2</v>
      </c>
      <c r="S34" s="281"/>
      <c r="T34" s="282"/>
      <c r="U34" s="282"/>
      <c r="V34" s="283"/>
      <c r="X34" s="321">
        <f>SUM(X31:X33)</f>
        <v>13</v>
      </c>
      <c r="Y34" s="322"/>
      <c r="Z34" s="323"/>
      <c r="AA34" s="323"/>
      <c r="AB34" s="324"/>
      <c r="AD34" s="141">
        <f>SUM(AD31:AD33)</f>
        <v>15</v>
      </c>
      <c r="AE34" s="136"/>
      <c r="AF34" s="137"/>
      <c r="AG34" s="137"/>
      <c r="AH34" s="142"/>
    </row>
    <row r="35" spans="1:34" ht="15.75" thickTop="1" x14ac:dyDescent="0.25"/>
  </sheetData>
  <sheetProtection selectLockedCells="1" selectUnlockedCells="1"/>
  <mergeCells count="1">
    <mergeCell ref="O1:AD1"/>
  </mergeCells>
  <conditionalFormatting sqref="I7:I18 I21:I27">
    <cfRule type="cellIs" dxfId="92" priority="105" operator="equal">
      <formula>0</formula>
    </cfRule>
  </conditionalFormatting>
  <conditionalFormatting sqref="O8:O18 O21:O27">
    <cfRule type="cellIs" dxfId="91" priority="97" operator="equal">
      <formula>0</formula>
    </cfRule>
  </conditionalFormatting>
  <conditionalFormatting sqref="O28">
    <cfRule type="cellIs" dxfId="90" priority="104" operator="equal">
      <formula>0</formula>
    </cfRule>
  </conditionalFormatting>
  <conditionalFormatting sqref="AG7:AG18 AG21:AG27">
    <cfRule type="cellIs" dxfId="89" priority="103" operator="equal">
      <formula>0</formula>
    </cfRule>
  </conditionalFormatting>
  <conditionalFormatting sqref="AG28">
    <cfRule type="cellIs" dxfId="88" priority="102" operator="equal">
      <formula>0</formula>
    </cfRule>
  </conditionalFormatting>
  <conditionalFormatting sqref="I28:J28">
    <cfRule type="cellIs" dxfId="87" priority="101" operator="equal">
      <formula>0</formula>
    </cfRule>
  </conditionalFormatting>
  <conditionalFormatting sqref="B16:B25 E16:E25">
    <cfRule type="cellIs" dxfId="86" priority="100" operator="equal">
      <formula>0</formula>
    </cfRule>
  </conditionalFormatting>
  <conditionalFormatting sqref="O7:O18 O21:O27">
    <cfRule type="cellIs" dxfId="85" priority="99" operator="equal">
      <formula>0</formula>
    </cfRule>
  </conditionalFormatting>
  <conditionalFormatting sqref="O7">
    <cfRule type="cellIs" dxfId="84" priority="98" operator="equal">
      <formula>0</formula>
    </cfRule>
  </conditionalFormatting>
  <conditionalFormatting sqref="F34">
    <cfRule type="containsText" dxfId="83" priority="67" operator="containsText" text="Draw">
      <formula>NOT(ISERROR(SEARCH("Draw",F34)))</formula>
    </cfRule>
    <cfRule type="containsText" dxfId="82" priority="68" operator="containsText" text="Loss">
      <formula>NOT(ISERROR(SEARCH("Loss",F34)))</formula>
    </cfRule>
    <cfRule type="containsText" dxfId="81" priority="69" operator="containsText" text="Win">
      <formula>NOT(ISERROR(SEARCH("Win",F34)))</formula>
    </cfRule>
  </conditionalFormatting>
  <conditionalFormatting sqref="A31:E32">
    <cfRule type="containsText" dxfId="80" priority="76" operator="containsText" text="Draw">
      <formula>NOT(ISERROR(SEARCH("Draw",A31)))</formula>
    </cfRule>
    <cfRule type="containsText" dxfId="79" priority="77" operator="containsText" text="Loss">
      <formula>NOT(ISERROR(SEARCH("Loss",A31)))</formula>
    </cfRule>
    <cfRule type="containsText" dxfId="78" priority="78" operator="containsText" text="Win">
      <formula>NOT(ISERROR(SEARCH("Win",A31)))</formula>
    </cfRule>
  </conditionalFormatting>
  <conditionalFormatting sqref="AD34">
    <cfRule type="containsText" dxfId="77" priority="73" operator="containsText" text="Draw">
      <formula>NOT(ISERROR(SEARCH("Draw",AD34)))</formula>
    </cfRule>
    <cfRule type="containsText" dxfId="76" priority="74" operator="containsText" text="Loss">
      <formula>NOT(ISERROR(SEARCH("Loss",AD34)))</formula>
    </cfRule>
    <cfRule type="containsText" dxfId="75" priority="75" operator="containsText" text="Win">
      <formula>NOT(ISERROR(SEARCH("Win",AD34)))</formula>
    </cfRule>
  </conditionalFormatting>
  <conditionalFormatting sqref="L34">
    <cfRule type="containsText" dxfId="74" priority="70" operator="containsText" text="Draw">
      <formula>NOT(ISERROR(SEARCH("Draw",L34)))</formula>
    </cfRule>
    <cfRule type="containsText" dxfId="73" priority="71" operator="containsText" text="Loss">
      <formula>NOT(ISERROR(SEARCH("Loss",L34)))</formula>
    </cfRule>
    <cfRule type="containsText" dxfId="72" priority="72" operator="containsText" text="Win">
      <formula>NOT(ISERROR(SEARCH("Win",L34)))</formula>
    </cfRule>
  </conditionalFormatting>
  <conditionalFormatting sqref="AD31:AD33">
    <cfRule type="containsText" dxfId="71" priority="82" operator="containsText" text="Draw">
      <formula>NOT(ISERROR(SEARCH("Draw",AD31)))</formula>
    </cfRule>
    <cfRule type="containsText" dxfId="70" priority="83" operator="containsText" text="Loss">
      <formula>NOT(ISERROR(SEARCH("Loss",AD31)))</formula>
    </cfRule>
    <cfRule type="containsText" dxfId="69" priority="84" operator="containsText" text="Win">
      <formula>NOT(ISERROR(SEARCH("Win",AD31)))</formula>
    </cfRule>
  </conditionalFormatting>
  <conditionalFormatting sqref="A33:E33">
    <cfRule type="containsText" dxfId="68" priority="79" operator="containsText" text="Draw">
      <formula>NOT(ISERROR(SEARCH("Draw",A33)))</formula>
    </cfRule>
    <cfRule type="containsText" dxfId="67" priority="80" operator="containsText" text="Loss">
      <formula>NOT(ISERROR(SEARCH("Loss",A33)))</formula>
    </cfRule>
    <cfRule type="containsText" dxfId="66" priority="81" operator="containsText" text="Win">
      <formula>NOT(ISERROR(SEARCH("Win",A33)))</formula>
    </cfRule>
  </conditionalFormatting>
  <conditionalFormatting sqref="F7:J18 F21:J34">
    <cfRule type="cellIs" dxfId="65" priority="63" operator="equal">
      <formula>0</formula>
    </cfRule>
  </conditionalFormatting>
  <conditionalFormatting sqref="L7:P18 L21:P34">
    <cfRule type="cellIs" dxfId="64" priority="62" operator="equal">
      <formula>0</formula>
    </cfRule>
  </conditionalFormatting>
  <conditionalFormatting sqref="AD5:AH5 AD7:AH18 AD6 AF6:AH6 AD21:AH34">
    <cfRule type="cellIs" dxfId="63" priority="61" operator="equal">
      <formula>0</formula>
    </cfRule>
  </conditionalFormatting>
  <conditionalFormatting sqref="U7:U18 U21:U27">
    <cfRule type="cellIs" dxfId="62" priority="60" operator="equal">
      <formula>0</formula>
    </cfRule>
  </conditionalFormatting>
  <conditionalFormatting sqref="AA8:AA18 AA21:AA27">
    <cfRule type="cellIs" dxfId="61" priority="55" operator="equal">
      <formula>0</formula>
    </cfRule>
  </conditionalFormatting>
  <conditionalFormatting sqref="AA28">
    <cfRule type="cellIs" dxfId="60" priority="59" operator="equal">
      <formula>0</formula>
    </cfRule>
  </conditionalFormatting>
  <conditionalFormatting sqref="U28:V28">
    <cfRule type="cellIs" dxfId="59" priority="58" operator="equal">
      <formula>0</formula>
    </cfRule>
  </conditionalFormatting>
  <conditionalFormatting sqref="AA7:AA18 AA21:AA27">
    <cfRule type="cellIs" dxfId="58" priority="57" operator="equal">
      <formula>0</formula>
    </cfRule>
  </conditionalFormatting>
  <conditionalFormatting sqref="AA7">
    <cfRule type="cellIs" dxfId="57" priority="56" operator="equal">
      <formula>0</formula>
    </cfRule>
  </conditionalFormatting>
  <conditionalFormatting sqref="R34">
    <cfRule type="containsText" dxfId="56" priority="49" operator="containsText" text="Draw">
      <formula>NOT(ISERROR(SEARCH("Draw",R34)))</formula>
    </cfRule>
    <cfRule type="containsText" dxfId="55" priority="50" operator="containsText" text="Loss">
      <formula>NOT(ISERROR(SEARCH("Loss",R34)))</formula>
    </cfRule>
    <cfRule type="containsText" dxfId="54" priority="51" operator="containsText" text="Win">
      <formula>NOT(ISERROR(SEARCH("Win",R34)))</formula>
    </cfRule>
  </conditionalFormatting>
  <conditionalFormatting sqref="X34">
    <cfRule type="containsText" dxfId="53" priority="52" operator="containsText" text="Draw">
      <formula>NOT(ISERROR(SEARCH("Draw",X34)))</formula>
    </cfRule>
    <cfRule type="containsText" dxfId="52" priority="53" operator="containsText" text="Loss">
      <formula>NOT(ISERROR(SEARCH("Loss",X34)))</formula>
    </cfRule>
    <cfRule type="containsText" dxfId="51" priority="54" operator="containsText" text="Win">
      <formula>NOT(ISERROR(SEARCH("Win",X34)))</formula>
    </cfRule>
  </conditionalFormatting>
  <conditionalFormatting sqref="R29:V30 S28:V28 R34:V34 S31:V33 T7:V18 T21:V27">
    <cfRule type="cellIs" dxfId="50" priority="48" operator="equal">
      <formula>0</formula>
    </cfRule>
  </conditionalFormatting>
  <conditionalFormatting sqref="X29:AB30 Y28:AB28 Z7:AB18 X34:AB34 Y31:AB33 Z21:AB27">
    <cfRule type="cellIs" dxfId="49" priority="47" operator="equal">
      <formula>0</formula>
    </cfRule>
  </conditionalFormatting>
  <conditionalFormatting sqref="R7:R18 R21:R27">
    <cfRule type="cellIs" dxfId="48" priority="46" operator="equal">
      <formula>0</formula>
    </cfRule>
  </conditionalFormatting>
  <conditionalFormatting sqref="X7:X18 X21:X27">
    <cfRule type="cellIs" dxfId="47" priority="44" operator="equal">
      <formula>0</formula>
    </cfRule>
  </conditionalFormatting>
  <conditionalFormatting sqref="R28">
    <cfRule type="cellIs" dxfId="46" priority="43" operator="equal">
      <formula>0</formula>
    </cfRule>
  </conditionalFormatting>
  <conditionalFormatting sqref="X28">
    <cfRule type="cellIs" dxfId="45" priority="42" operator="equal">
      <formula>0</formula>
    </cfRule>
  </conditionalFormatting>
  <conditionalFormatting sqref="R31">
    <cfRule type="cellIs" dxfId="44" priority="41" operator="equal">
      <formula>0</formula>
    </cfRule>
  </conditionalFormatting>
  <conditionalFormatting sqref="R32">
    <cfRule type="cellIs" dxfId="43" priority="40" operator="equal">
      <formula>0</formula>
    </cfRule>
  </conditionalFormatting>
  <conditionalFormatting sqref="R33">
    <cfRule type="cellIs" dxfId="42" priority="39" operator="equal">
      <formula>0</formula>
    </cfRule>
  </conditionalFormatting>
  <conditionalFormatting sqref="S7:S18 S21:S27">
    <cfRule type="cellIs" dxfId="41" priority="38" operator="equal">
      <formula>0</formula>
    </cfRule>
  </conditionalFormatting>
  <conditionalFormatting sqref="Y7:Y18 Y21:Y27">
    <cfRule type="cellIs" dxfId="40" priority="37" operator="equal">
      <formula>0</formula>
    </cfRule>
  </conditionalFormatting>
  <conditionalFormatting sqref="X31:X33">
    <cfRule type="cellIs" dxfId="39" priority="36" operator="equal">
      <formula>0</formula>
    </cfRule>
  </conditionalFormatting>
  <conditionalFormatting sqref="AE6">
    <cfRule type="cellIs" dxfId="38" priority="35" operator="equal">
      <formula>0</formula>
    </cfRule>
  </conditionalFormatting>
  <conditionalFormatting sqref="I19">
    <cfRule type="cellIs" dxfId="37" priority="34" operator="equal">
      <formula>0</formula>
    </cfRule>
  </conditionalFormatting>
  <conditionalFormatting sqref="O19">
    <cfRule type="cellIs" dxfId="36" priority="31" operator="equal">
      <formula>0</formula>
    </cfRule>
  </conditionalFormatting>
  <conditionalFormatting sqref="AG19">
    <cfRule type="cellIs" dxfId="35" priority="33" operator="equal">
      <formula>0</formula>
    </cfRule>
  </conditionalFormatting>
  <conditionalFormatting sqref="O19">
    <cfRule type="cellIs" dxfId="34" priority="32" operator="equal">
      <formula>0</formula>
    </cfRule>
  </conditionalFormatting>
  <conditionalFormatting sqref="F19:J19">
    <cfRule type="cellIs" dxfId="33" priority="30" operator="equal">
      <formula>0</formula>
    </cfRule>
  </conditionalFormatting>
  <conditionalFormatting sqref="L19:P19">
    <cfRule type="cellIs" dxfId="32" priority="29" operator="equal">
      <formula>0</formula>
    </cfRule>
  </conditionalFormatting>
  <conditionalFormatting sqref="AD19:AH19">
    <cfRule type="cellIs" dxfId="31" priority="28" operator="equal">
      <formula>0</formula>
    </cfRule>
  </conditionalFormatting>
  <conditionalFormatting sqref="U19">
    <cfRule type="cellIs" dxfId="30" priority="27" operator="equal">
      <formula>0</formula>
    </cfRule>
  </conditionalFormatting>
  <conditionalFormatting sqref="AA19">
    <cfRule type="cellIs" dxfId="29" priority="25" operator="equal">
      <formula>0</formula>
    </cfRule>
  </conditionalFormatting>
  <conditionalFormatting sqref="AA19">
    <cfRule type="cellIs" dxfId="28" priority="26" operator="equal">
      <formula>0</formula>
    </cfRule>
  </conditionalFormatting>
  <conditionalFormatting sqref="T19:V19">
    <cfRule type="cellIs" dxfId="27" priority="24" operator="equal">
      <formula>0</formula>
    </cfRule>
  </conditionalFormatting>
  <conditionalFormatting sqref="Z19:AB19">
    <cfRule type="cellIs" dxfId="26" priority="23" operator="equal">
      <formula>0</formula>
    </cfRule>
  </conditionalFormatting>
  <conditionalFormatting sqref="R19">
    <cfRule type="cellIs" dxfId="25" priority="22" operator="equal">
      <formula>0</formula>
    </cfRule>
  </conditionalFormatting>
  <conditionalFormatting sqref="X19">
    <cfRule type="cellIs" dxfId="24" priority="21" operator="equal">
      <formula>0</formula>
    </cfRule>
  </conditionalFormatting>
  <conditionalFormatting sqref="S19">
    <cfRule type="cellIs" dxfId="23" priority="20" operator="equal">
      <formula>0</formula>
    </cfRule>
  </conditionalFormatting>
  <conditionalFormatting sqref="Y19">
    <cfRule type="cellIs" dxfId="22" priority="19" operator="equal">
      <formula>0</formula>
    </cfRule>
  </conditionalFormatting>
  <conditionalFormatting sqref="I20">
    <cfRule type="cellIs" dxfId="21" priority="18" operator="equal">
      <formula>0</formula>
    </cfRule>
  </conditionalFormatting>
  <conditionalFormatting sqref="O20">
    <cfRule type="cellIs" dxfId="20" priority="15" operator="equal">
      <formula>0</formula>
    </cfRule>
  </conditionalFormatting>
  <conditionalFormatting sqref="AG20">
    <cfRule type="cellIs" dxfId="19" priority="17" operator="equal">
      <formula>0</formula>
    </cfRule>
  </conditionalFormatting>
  <conditionalFormatting sqref="O20">
    <cfRule type="cellIs" dxfId="18" priority="16" operator="equal">
      <formula>0</formula>
    </cfRule>
  </conditionalFormatting>
  <conditionalFormatting sqref="F20:J20">
    <cfRule type="cellIs" dxfId="17" priority="14" operator="equal">
      <formula>0</formula>
    </cfRule>
  </conditionalFormatting>
  <conditionalFormatting sqref="L20:P20">
    <cfRule type="cellIs" dxfId="16" priority="13" operator="equal">
      <formula>0</formula>
    </cfRule>
  </conditionalFormatting>
  <conditionalFormatting sqref="AD20:AH20">
    <cfRule type="cellIs" dxfId="15" priority="12" operator="equal">
      <formula>0</formula>
    </cfRule>
  </conditionalFormatting>
  <conditionalFormatting sqref="U20">
    <cfRule type="cellIs" dxfId="14" priority="11" operator="equal">
      <formula>0</formula>
    </cfRule>
  </conditionalFormatting>
  <conditionalFormatting sqref="AA20">
    <cfRule type="cellIs" dxfId="13" priority="9" operator="equal">
      <formula>0</formula>
    </cfRule>
  </conditionalFormatting>
  <conditionalFormatting sqref="AA20">
    <cfRule type="cellIs" dxfId="12" priority="10" operator="equal">
      <formula>0</formula>
    </cfRule>
  </conditionalFormatting>
  <conditionalFormatting sqref="T20:V20">
    <cfRule type="cellIs" dxfId="11" priority="8" operator="equal">
      <formula>0</formula>
    </cfRule>
  </conditionalFormatting>
  <conditionalFormatting sqref="Z20:AB20">
    <cfRule type="cellIs" dxfId="10" priority="7" operator="equal">
      <formula>0</formula>
    </cfRule>
  </conditionalFormatting>
  <conditionalFormatting sqref="R20">
    <cfRule type="cellIs" dxfId="9" priority="6" operator="equal">
      <formula>0</formula>
    </cfRule>
  </conditionalFormatting>
  <conditionalFormatting sqref="X20">
    <cfRule type="cellIs" dxfId="8" priority="5" operator="equal">
      <formula>0</formula>
    </cfRule>
  </conditionalFormatting>
  <conditionalFormatting sqref="S20">
    <cfRule type="cellIs" dxfId="7" priority="4" operator="equal">
      <formula>0</formula>
    </cfRule>
  </conditionalFormatting>
  <conditionalFormatting sqref="Y20">
    <cfRule type="cellIs" dxfId="6" priority="3" operator="equal">
      <formula>0</formula>
    </cfRule>
  </conditionalFormatting>
  <conditionalFormatting sqref="C7:C27">
    <cfRule type="top10" dxfId="5" priority="2" percent="1" rank="10"/>
  </conditionalFormatting>
  <conditionalFormatting sqref="D7:D26">
    <cfRule type="top10" dxfId="4" priority="1" percent="1" rank="10"/>
  </conditionalFormatting>
  <pageMargins left="0.25" right="0.25" top="0.75" bottom="0.75" header="0.3" footer="0.3"/>
  <pageSetup paperSize="9" scale="81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workbookViewId="0">
      <selection activeCell="P23" sqref="P23"/>
    </sheetView>
  </sheetViews>
  <sheetFormatPr defaultRowHeight="15" x14ac:dyDescent="0.25"/>
  <cols>
    <col min="1" max="1" width="25.5703125" bestFit="1" customWidth="1"/>
    <col min="2" max="8" width="11.5703125" customWidth="1"/>
    <col min="9" max="10" width="10.7109375" bestFit="1" customWidth="1"/>
    <col min="11" max="12" width="10.28515625" bestFit="1" customWidth="1"/>
    <col min="13" max="15" width="9.7109375" bestFit="1" customWidth="1"/>
    <col min="16" max="18" width="10.140625" bestFit="1" customWidth="1"/>
    <col min="19" max="21" width="10.7109375" bestFit="1" customWidth="1"/>
  </cols>
  <sheetData>
    <row r="1" spans="1:24" ht="23.25" x14ac:dyDescent="0.35">
      <c r="A1" s="27" t="s">
        <v>53</v>
      </c>
    </row>
    <row r="3" spans="1:24" ht="18.75" x14ac:dyDescent="0.3">
      <c r="A3" s="47" t="s">
        <v>40</v>
      </c>
      <c r="B3" s="334">
        <f>+Scores!B7</f>
        <v>43348</v>
      </c>
      <c r="C3" s="334">
        <v>43362</v>
      </c>
      <c r="D3" s="334">
        <v>43369</v>
      </c>
      <c r="E3" s="334">
        <v>43381</v>
      </c>
      <c r="F3" s="334">
        <v>43390</v>
      </c>
      <c r="G3" s="334">
        <v>43404</v>
      </c>
      <c r="H3" s="334">
        <v>43418</v>
      </c>
      <c r="I3" s="334">
        <v>43425</v>
      </c>
      <c r="J3" s="334">
        <v>43432</v>
      </c>
      <c r="K3" s="334">
        <v>43439</v>
      </c>
      <c r="L3" s="334">
        <v>43453</v>
      </c>
      <c r="M3" s="334">
        <v>43467</v>
      </c>
      <c r="N3" s="337">
        <v>43488</v>
      </c>
      <c r="O3" s="337">
        <v>43495</v>
      </c>
      <c r="P3" s="337">
        <v>43502</v>
      </c>
      <c r="Q3" s="337"/>
      <c r="R3" s="337"/>
      <c r="S3" s="337"/>
      <c r="T3" s="337"/>
      <c r="U3" s="337"/>
      <c r="V3" s="334"/>
      <c r="W3" s="334"/>
      <c r="X3" s="334"/>
    </row>
    <row r="4" spans="1:24" ht="15.75" x14ac:dyDescent="0.25">
      <c r="A4" s="81" t="str">
        <f>+Scores!A11</f>
        <v>Dave E (Doc)</v>
      </c>
      <c r="B4" s="347">
        <v>42</v>
      </c>
      <c r="C4" s="347">
        <v>44</v>
      </c>
      <c r="D4" s="347">
        <v>44</v>
      </c>
      <c r="E4" s="347">
        <v>44.7</v>
      </c>
      <c r="F4" s="347">
        <v>44.7</v>
      </c>
      <c r="G4" s="347">
        <v>44.7</v>
      </c>
      <c r="H4" s="347">
        <v>44.5</v>
      </c>
      <c r="I4" s="347">
        <v>43.8</v>
      </c>
      <c r="J4" s="347">
        <v>43.8</v>
      </c>
      <c r="K4" s="347">
        <v>43.8</v>
      </c>
      <c r="L4" s="347">
        <v>44</v>
      </c>
      <c r="M4" s="347">
        <v>44.4</v>
      </c>
      <c r="N4" s="347">
        <v>44.4</v>
      </c>
      <c r="O4" s="347">
        <v>44.1</v>
      </c>
      <c r="P4" s="347">
        <v>44.9</v>
      </c>
      <c r="Q4" s="347"/>
      <c r="R4" s="347"/>
      <c r="S4" s="347"/>
      <c r="T4" s="347"/>
      <c r="U4" s="22"/>
    </row>
    <row r="5" spans="1:24" ht="15.75" x14ac:dyDescent="0.25">
      <c r="A5" s="82" t="str">
        <f>+Scores!A12</f>
        <v>Dash</v>
      </c>
      <c r="B5" s="347">
        <v>43</v>
      </c>
      <c r="C5" s="347">
        <v>48</v>
      </c>
      <c r="D5" s="347">
        <v>46</v>
      </c>
      <c r="E5" s="347">
        <v>46</v>
      </c>
      <c r="F5" s="347">
        <v>45.3</v>
      </c>
      <c r="G5" s="347">
        <v>45.3</v>
      </c>
      <c r="H5" s="347">
        <v>44</v>
      </c>
      <c r="I5" s="347">
        <v>43.5</v>
      </c>
      <c r="J5" s="347">
        <v>46</v>
      </c>
      <c r="K5" s="347">
        <v>45.9</v>
      </c>
      <c r="L5" s="347">
        <v>45.9</v>
      </c>
      <c r="M5" s="347">
        <v>46.4</v>
      </c>
      <c r="N5" s="347">
        <v>46.4</v>
      </c>
      <c r="O5" s="347">
        <v>46.1</v>
      </c>
      <c r="P5" s="347">
        <v>46.1</v>
      </c>
      <c r="Q5" s="347"/>
      <c r="R5" s="347"/>
      <c r="S5" s="347"/>
      <c r="T5" s="347"/>
      <c r="U5" s="22"/>
    </row>
    <row r="6" spans="1:24" ht="15.75" x14ac:dyDescent="0.25">
      <c r="A6" s="81" t="str">
        <f>+Scores!A13</f>
        <v>John B</v>
      </c>
      <c r="B6" s="347">
        <v>51</v>
      </c>
      <c r="C6" s="347">
        <v>51</v>
      </c>
      <c r="D6" s="347">
        <v>51</v>
      </c>
      <c r="E6" s="347">
        <v>56.5</v>
      </c>
      <c r="F6" s="347">
        <v>56.5</v>
      </c>
      <c r="G6" s="347">
        <v>56.5</v>
      </c>
      <c r="H6" s="347">
        <v>56.5</v>
      </c>
      <c r="I6" s="347">
        <v>56.5</v>
      </c>
      <c r="J6" s="347">
        <v>56.7</v>
      </c>
      <c r="K6" s="347">
        <v>53</v>
      </c>
      <c r="L6" s="347">
        <v>53</v>
      </c>
      <c r="M6" s="347">
        <v>53</v>
      </c>
      <c r="N6" s="347">
        <v>51.2</v>
      </c>
      <c r="O6" s="347">
        <v>50.3</v>
      </c>
      <c r="P6" s="347">
        <v>50</v>
      </c>
      <c r="Q6" s="347"/>
      <c r="R6" s="347"/>
      <c r="S6" s="347"/>
      <c r="T6" s="347"/>
      <c r="U6" s="22"/>
    </row>
    <row r="7" spans="1:24" ht="15.75" x14ac:dyDescent="0.25">
      <c r="A7" s="82" t="str">
        <f>+Scores!A14</f>
        <v>Lyndon</v>
      </c>
      <c r="B7" s="347">
        <v>47</v>
      </c>
      <c r="C7" s="347">
        <v>47</v>
      </c>
      <c r="D7" s="347">
        <v>48</v>
      </c>
      <c r="E7" s="347">
        <v>48</v>
      </c>
      <c r="F7" s="347">
        <v>48</v>
      </c>
      <c r="G7" s="347">
        <v>46</v>
      </c>
      <c r="H7" s="347">
        <v>46.3</v>
      </c>
      <c r="I7" s="347">
        <v>45.2</v>
      </c>
      <c r="J7" s="347">
        <v>45.2</v>
      </c>
      <c r="K7" s="347">
        <v>46.8</v>
      </c>
      <c r="L7" s="347">
        <v>46.8</v>
      </c>
      <c r="M7" s="347">
        <v>46.8</v>
      </c>
      <c r="N7" s="347">
        <v>46.8</v>
      </c>
      <c r="O7" s="347">
        <v>46.8</v>
      </c>
      <c r="P7" s="347">
        <v>46.8</v>
      </c>
      <c r="Q7" s="347"/>
      <c r="R7" s="347"/>
      <c r="S7" s="347"/>
      <c r="T7" s="347"/>
      <c r="U7" s="22"/>
    </row>
    <row r="8" spans="1:24" ht="15.75" x14ac:dyDescent="0.25">
      <c r="A8" s="81" t="str">
        <f>+Scores!A15</f>
        <v>Rich A</v>
      </c>
      <c r="B8" s="347">
        <v>65</v>
      </c>
      <c r="C8" s="347">
        <v>55.5</v>
      </c>
      <c r="D8" s="347">
        <v>51</v>
      </c>
      <c r="E8" s="347">
        <v>51</v>
      </c>
      <c r="F8" s="347">
        <v>50.6</v>
      </c>
      <c r="G8" s="347">
        <v>50</v>
      </c>
      <c r="H8" s="347">
        <v>49.3</v>
      </c>
      <c r="I8" s="347">
        <v>50</v>
      </c>
      <c r="J8" s="347">
        <v>50.3</v>
      </c>
      <c r="K8" s="347">
        <v>49.8</v>
      </c>
      <c r="L8" s="347">
        <v>48.9</v>
      </c>
      <c r="M8" s="347">
        <v>48.3</v>
      </c>
      <c r="N8" s="347">
        <v>48.8</v>
      </c>
      <c r="O8" s="347">
        <v>48.6</v>
      </c>
      <c r="P8" s="347">
        <v>49</v>
      </c>
      <c r="Q8" s="347"/>
      <c r="R8" s="347"/>
      <c r="S8" s="347"/>
      <c r="T8" s="347"/>
      <c r="U8" s="22"/>
    </row>
    <row r="9" spans="1:24" ht="15.75" x14ac:dyDescent="0.25">
      <c r="A9" s="82" t="str">
        <f>+Scores!A16</f>
        <v>Steve L</v>
      </c>
      <c r="B9" s="347">
        <v>58</v>
      </c>
      <c r="C9" s="347">
        <v>51.5</v>
      </c>
      <c r="D9" s="347">
        <v>50.7</v>
      </c>
      <c r="E9" s="347">
        <v>48.3</v>
      </c>
      <c r="F9" s="347">
        <v>47.4</v>
      </c>
      <c r="G9" s="347">
        <v>49</v>
      </c>
      <c r="H9" s="347">
        <v>48.7</v>
      </c>
      <c r="I9" s="347">
        <v>48.5</v>
      </c>
      <c r="J9" s="347">
        <v>48.8</v>
      </c>
      <c r="K9" s="347">
        <v>48.4</v>
      </c>
      <c r="L9" s="347">
        <v>49.9</v>
      </c>
      <c r="M9" s="347">
        <v>49.3</v>
      </c>
      <c r="N9" s="347">
        <v>49.3</v>
      </c>
      <c r="O9" s="347">
        <v>48.9</v>
      </c>
      <c r="P9" s="347">
        <v>48.8</v>
      </c>
      <c r="Q9" s="347"/>
      <c r="R9" s="347"/>
      <c r="S9" s="347"/>
      <c r="T9" s="347"/>
      <c r="U9" s="22"/>
    </row>
    <row r="10" spans="1:24" ht="15.75" x14ac:dyDescent="0.25">
      <c r="A10" s="81" t="str">
        <f>+Scores!A17</f>
        <v>Rich W</v>
      </c>
      <c r="B10" s="347">
        <v>63</v>
      </c>
      <c r="C10" s="347">
        <v>63</v>
      </c>
      <c r="D10" s="347">
        <v>54</v>
      </c>
      <c r="E10" s="347">
        <v>50</v>
      </c>
      <c r="F10" s="347">
        <v>47.8</v>
      </c>
      <c r="G10" s="347">
        <v>45</v>
      </c>
      <c r="H10" s="347">
        <v>45</v>
      </c>
      <c r="I10" s="347">
        <v>45</v>
      </c>
      <c r="J10" s="347">
        <v>45</v>
      </c>
      <c r="K10" s="347">
        <v>43.5</v>
      </c>
      <c r="L10" s="347">
        <v>43.1</v>
      </c>
      <c r="M10" s="347">
        <v>43.1</v>
      </c>
      <c r="N10" s="347">
        <v>43.3</v>
      </c>
      <c r="O10" s="347">
        <v>43.2</v>
      </c>
      <c r="P10" s="347">
        <v>43.4</v>
      </c>
      <c r="Q10" s="347"/>
      <c r="R10" s="347"/>
      <c r="S10" s="347"/>
      <c r="T10" s="347"/>
      <c r="U10" s="22"/>
    </row>
    <row r="11" spans="1:24" ht="15.75" x14ac:dyDescent="0.25">
      <c r="A11" s="82" t="str">
        <f>+Scores!A18</f>
        <v>Trevor D</v>
      </c>
      <c r="B11" s="347">
        <v>45</v>
      </c>
      <c r="C11" s="347">
        <v>51</v>
      </c>
      <c r="D11" s="347">
        <v>52.3</v>
      </c>
      <c r="E11" s="347">
        <v>55</v>
      </c>
      <c r="F11" s="347">
        <v>53.8</v>
      </c>
      <c r="G11" s="347">
        <v>51.2</v>
      </c>
      <c r="H11" s="347">
        <v>51.3</v>
      </c>
      <c r="I11" s="347">
        <v>51.1</v>
      </c>
      <c r="J11" s="347">
        <v>51.8</v>
      </c>
      <c r="K11" s="347">
        <v>51.4</v>
      </c>
      <c r="L11" s="347">
        <v>50.8</v>
      </c>
      <c r="M11" s="347">
        <v>50.8</v>
      </c>
      <c r="N11" s="347">
        <v>50.8</v>
      </c>
      <c r="O11" s="347">
        <v>50.8</v>
      </c>
      <c r="P11" s="347">
        <v>50.8</v>
      </c>
      <c r="Q11" s="347"/>
      <c r="R11" s="347"/>
      <c r="S11" s="347"/>
      <c r="T11" s="347"/>
      <c r="U11" s="22"/>
    </row>
    <row r="12" spans="1:24" ht="15.75" x14ac:dyDescent="0.25">
      <c r="A12" s="81" t="str">
        <f>+Scores!A19</f>
        <v>Rod</v>
      </c>
      <c r="B12" s="347">
        <v>51</v>
      </c>
      <c r="C12" s="347">
        <v>46</v>
      </c>
      <c r="D12" s="347">
        <v>46.3</v>
      </c>
      <c r="E12" s="347">
        <v>45.3</v>
      </c>
      <c r="F12" s="347">
        <v>45.3</v>
      </c>
      <c r="G12" s="347">
        <v>44.8</v>
      </c>
      <c r="H12" s="347">
        <v>44</v>
      </c>
      <c r="I12" s="347">
        <v>44.4</v>
      </c>
      <c r="J12" s="347">
        <v>46</v>
      </c>
      <c r="K12" s="347">
        <v>46.3</v>
      </c>
      <c r="L12" s="347">
        <v>46.2</v>
      </c>
      <c r="M12" s="347">
        <v>46.3</v>
      </c>
      <c r="N12" s="347">
        <v>45.9</v>
      </c>
      <c r="O12" s="347">
        <v>47.1</v>
      </c>
      <c r="P12" s="347">
        <v>47.4</v>
      </c>
      <c r="Q12" s="347"/>
      <c r="R12" s="347"/>
      <c r="S12" s="347"/>
      <c r="T12" s="347"/>
      <c r="U12" s="22"/>
    </row>
    <row r="13" spans="1:24" ht="15.75" x14ac:dyDescent="0.25">
      <c r="A13" s="82" t="str">
        <f>+Scores!A20</f>
        <v>Gary</v>
      </c>
      <c r="B13" s="347"/>
      <c r="C13" s="347">
        <v>39</v>
      </c>
      <c r="D13" s="347">
        <v>41.5</v>
      </c>
      <c r="E13" s="347">
        <v>40</v>
      </c>
      <c r="F13" s="347">
        <v>42.3</v>
      </c>
      <c r="G13" s="347">
        <v>42.3</v>
      </c>
      <c r="H13" s="347">
        <v>41</v>
      </c>
      <c r="I13" s="347">
        <v>42.7</v>
      </c>
      <c r="J13" s="347">
        <v>44.3</v>
      </c>
      <c r="K13" s="347">
        <v>43.4</v>
      </c>
      <c r="L13" s="347">
        <v>43.9</v>
      </c>
      <c r="M13" s="347">
        <v>43.4</v>
      </c>
      <c r="N13" s="347">
        <v>43.4</v>
      </c>
      <c r="O13" s="347">
        <v>44.8</v>
      </c>
      <c r="P13" s="347">
        <v>44.8</v>
      </c>
      <c r="Q13" s="347"/>
      <c r="R13" s="347"/>
      <c r="S13" s="347"/>
      <c r="T13" s="347"/>
      <c r="U13" s="22"/>
    </row>
    <row r="14" spans="1:24" ht="15.75" x14ac:dyDescent="0.25">
      <c r="A14" s="81" t="str">
        <f>+Scores!A21</f>
        <v>Pete P</v>
      </c>
      <c r="B14" s="347"/>
      <c r="C14" s="347"/>
      <c r="D14" s="347">
        <v>45</v>
      </c>
      <c r="E14" s="347">
        <v>42.5</v>
      </c>
      <c r="F14" s="347">
        <v>42.5</v>
      </c>
      <c r="G14" s="347">
        <v>39</v>
      </c>
      <c r="H14" s="347">
        <v>38.799999999999997</v>
      </c>
      <c r="I14" s="347">
        <v>42</v>
      </c>
      <c r="J14" s="347">
        <v>40.799999999999997</v>
      </c>
      <c r="K14" s="347">
        <v>40.799999999999997</v>
      </c>
      <c r="L14" s="347">
        <v>42.4</v>
      </c>
      <c r="M14" s="347">
        <v>43</v>
      </c>
      <c r="N14" s="347">
        <v>42.9</v>
      </c>
      <c r="O14" s="347">
        <v>42.9</v>
      </c>
      <c r="P14" s="347">
        <v>42.5</v>
      </c>
      <c r="Q14" s="347"/>
      <c r="R14" s="347"/>
      <c r="S14" s="347"/>
      <c r="T14" s="347"/>
      <c r="U14" s="22"/>
    </row>
    <row r="15" spans="1:24" ht="15.75" x14ac:dyDescent="0.25">
      <c r="A15" s="82" t="str">
        <f>+Scores!A22</f>
        <v>Stewart Denny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22"/>
    </row>
    <row r="16" spans="1:24" ht="15.75" x14ac:dyDescent="0.25">
      <c r="A16" s="81" t="str">
        <f>+Scores!A23</f>
        <v>Ben Small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22"/>
    </row>
    <row r="17" spans="1:21" ht="15.75" x14ac:dyDescent="0.25">
      <c r="A17" s="82" t="str">
        <f>+Scores!A24</f>
        <v>Charlotte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22"/>
    </row>
    <row r="18" spans="1:21" ht="15.75" x14ac:dyDescent="0.25">
      <c r="A18" s="81"/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22"/>
    </row>
    <row r="19" spans="1:21" ht="15.75" x14ac:dyDescent="0.25">
      <c r="A19" s="82"/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22"/>
    </row>
    <row r="20" spans="1:21" ht="15.75" x14ac:dyDescent="0.25">
      <c r="A20" s="81"/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22"/>
    </row>
    <row r="21" spans="1:21" ht="15.75" x14ac:dyDescent="0.25">
      <c r="A21" s="82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22"/>
    </row>
    <row r="22" spans="1:21" ht="15.75" x14ac:dyDescent="0.25">
      <c r="A22" s="81" t="s">
        <v>41</v>
      </c>
      <c r="B22" s="347"/>
      <c r="C22" s="347">
        <v>46.7</v>
      </c>
      <c r="D22" s="347"/>
      <c r="E22" s="347">
        <v>48.1</v>
      </c>
      <c r="F22" s="347">
        <v>47.4</v>
      </c>
      <c r="G22" s="347">
        <v>46.4</v>
      </c>
      <c r="H22" s="347">
        <v>46.1</v>
      </c>
      <c r="I22" s="347">
        <v>46.1</v>
      </c>
      <c r="J22" s="347">
        <v>44.7</v>
      </c>
      <c r="K22" s="347">
        <v>44.7</v>
      </c>
      <c r="L22" s="347">
        <v>44.7</v>
      </c>
      <c r="M22" s="347">
        <v>44.8</v>
      </c>
      <c r="N22" s="347">
        <v>44.9</v>
      </c>
      <c r="O22" s="347">
        <v>44.9</v>
      </c>
      <c r="P22" s="347">
        <v>44.9</v>
      </c>
      <c r="Q22" s="347"/>
      <c r="R22" s="347"/>
      <c r="S22" s="347"/>
      <c r="T22" s="347"/>
      <c r="U22" s="22"/>
    </row>
    <row r="23" spans="1:21" ht="15.75" x14ac:dyDescent="0.25">
      <c r="A23" s="82" t="s">
        <v>42</v>
      </c>
      <c r="B23" s="347">
        <v>51.7</v>
      </c>
      <c r="C23" s="347">
        <v>49.5</v>
      </c>
      <c r="D23" s="347"/>
      <c r="E23" s="347">
        <v>46.7</v>
      </c>
      <c r="F23" s="347">
        <v>45.7</v>
      </c>
      <c r="G23" s="347">
        <v>45.7</v>
      </c>
      <c r="H23" s="347">
        <v>45.5</v>
      </c>
      <c r="I23" s="347">
        <v>45.5</v>
      </c>
      <c r="J23" s="347">
        <v>46.9</v>
      </c>
      <c r="K23" s="347">
        <v>46.6</v>
      </c>
      <c r="L23" s="347">
        <v>46.7</v>
      </c>
      <c r="M23" s="347">
        <v>46.5</v>
      </c>
      <c r="N23" s="347">
        <v>46.5</v>
      </c>
      <c r="O23" s="347">
        <v>46.6</v>
      </c>
      <c r="P23" s="347">
        <v>46.6</v>
      </c>
      <c r="Q23" s="347"/>
      <c r="R23" s="347"/>
      <c r="S23" s="347"/>
      <c r="T23" s="347"/>
      <c r="U23" s="22"/>
    </row>
    <row r="24" spans="1:21" x14ac:dyDescent="0.25">
      <c r="G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25"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x14ac:dyDescent="0.25"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25"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x14ac:dyDescent="0.25"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x14ac:dyDescent="0.25"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25"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x14ac:dyDescent="0.25"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2:21" x14ac:dyDescent="0.25"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2:2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2:2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2:2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2:21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2:21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 t="s">
        <v>44</v>
      </c>
      <c r="P38" s="22"/>
      <c r="Q38" s="22"/>
      <c r="R38" s="22"/>
      <c r="S38" s="22"/>
      <c r="T38" s="22"/>
      <c r="U38" s="22"/>
    </row>
    <row r="39" spans="2:2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2:21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</sheetData>
  <sheetProtection selectLockedCells="1" selectUnlockedCells="1"/>
  <conditionalFormatting sqref="B4:F14 H4:K14 B15:K15 N15:T15 N4:O14 Q4:T14 B16:T23">
    <cfRule type="cellIs" dxfId="3" priority="6" operator="equal">
      <formula>0</formula>
    </cfRule>
  </conditionalFormatting>
  <conditionalFormatting sqref="G4:G14">
    <cfRule type="cellIs" dxfId="2" priority="4" operator="equal">
      <formula>0</formula>
    </cfRule>
  </conditionalFormatting>
  <conditionalFormatting sqref="L4:L15">
    <cfRule type="cellIs" dxfId="1" priority="3" operator="equal">
      <formula>0</formula>
    </cfRule>
  </conditionalFormatting>
  <conditionalFormatting sqref="P4:P1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A4:A13 A14:A1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A460-65E3-46D1-9CDA-953B5A2D9583}">
  <dimension ref="A2:P32"/>
  <sheetViews>
    <sheetView workbookViewId="0">
      <selection activeCell="H14" sqref="H14:I14"/>
    </sheetView>
  </sheetViews>
  <sheetFormatPr defaultRowHeight="15" x14ac:dyDescent="0.25"/>
  <cols>
    <col min="4" max="12" width="7.28515625" customWidth="1"/>
  </cols>
  <sheetData>
    <row r="2" spans="1:16" x14ac:dyDescent="0.25">
      <c r="D2" t="s">
        <v>110</v>
      </c>
    </row>
    <row r="4" spans="1:16" x14ac:dyDescent="0.25">
      <c r="D4" t="s">
        <v>114</v>
      </c>
      <c r="K4" t="s">
        <v>113</v>
      </c>
      <c r="L4" s="191" t="s">
        <v>111</v>
      </c>
    </row>
    <row r="5" spans="1:16" x14ac:dyDescent="0.25">
      <c r="A5">
        <v>1</v>
      </c>
      <c r="D5">
        <v>5</v>
      </c>
      <c r="E5">
        <v>9</v>
      </c>
      <c r="F5">
        <v>8</v>
      </c>
      <c r="G5">
        <v>14</v>
      </c>
      <c r="H5">
        <v>8</v>
      </c>
      <c r="I5">
        <v>8</v>
      </c>
      <c r="K5">
        <f t="shared" ref="K5:K12" si="0">SUM(D5:I5)</f>
        <v>52</v>
      </c>
      <c r="L5" s="191">
        <v>48</v>
      </c>
    </row>
    <row r="6" spans="1:16" x14ac:dyDescent="0.25">
      <c r="A6">
        <v>2</v>
      </c>
      <c r="D6">
        <v>8</v>
      </c>
      <c r="E6">
        <v>7</v>
      </c>
      <c r="F6">
        <v>7</v>
      </c>
      <c r="G6">
        <v>7</v>
      </c>
      <c r="H6">
        <v>6</v>
      </c>
      <c r="I6">
        <v>7</v>
      </c>
      <c r="K6">
        <f t="shared" si="0"/>
        <v>42</v>
      </c>
      <c r="L6" s="191">
        <v>42</v>
      </c>
    </row>
    <row r="7" spans="1:16" x14ac:dyDescent="0.25">
      <c r="A7">
        <v>3</v>
      </c>
      <c r="D7">
        <v>6</v>
      </c>
      <c r="E7">
        <v>9</v>
      </c>
      <c r="F7">
        <v>4</v>
      </c>
      <c r="G7">
        <v>7</v>
      </c>
      <c r="H7">
        <v>9</v>
      </c>
      <c r="I7">
        <v>6</v>
      </c>
      <c r="K7">
        <f t="shared" si="0"/>
        <v>41</v>
      </c>
      <c r="L7" s="191">
        <v>41</v>
      </c>
    </row>
    <row r="8" spans="1:16" x14ac:dyDescent="0.25">
      <c r="A8">
        <v>4</v>
      </c>
      <c r="D8">
        <v>7</v>
      </c>
      <c r="E8">
        <v>5</v>
      </c>
      <c r="F8">
        <v>8</v>
      </c>
      <c r="G8">
        <v>7</v>
      </c>
      <c r="H8">
        <v>8</v>
      </c>
      <c r="I8">
        <v>6</v>
      </c>
      <c r="K8">
        <f t="shared" si="0"/>
        <v>41</v>
      </c>
      <c r="L8" s="191">
        <v>41</v>
      </c>
    </row>
    <row r="9" spans="1:16" x14ac:dyDescent="0.25">
      <c r="A9">
        <v>5</v>
      </c>
      <c r="D9">
        <v>7</v>
      </c>
      <c r="E9">
        <v>7</v>
      </c>
      <c r="F9">
        <v>7</v>
      </c>
      <c r="G9">
        <v>8</v>
      </c>
      <c r="H9">
        <v>5</v>
      </c>
      <c r="I9">
        <v>8</v>
      </c>
      <c r="K9">
        <f t="shared" si="0"/>
        <v>42</v>
      </c>
      <c r="L9" s="191">
        <v>42</v>
      </c>
    </row>
    <row r="10" spans="1:16" x14ac:dyDescent="0.25">
      <c r="A10">
        <v>6</v>
      </c>
      <c r="D10">
        <v>7</v>
      </c>
      <c r="E10">
        <v>8</v>
      </c>
      <c r="F10">
        <v>9</v>
      </c>
      <c r="G10">
        <v>8</v>
      </c>
      <c r="H10">
        <v>8</v>
      </c>
      <c r="I10">
        <v>7</v>
      </c>
      <c r="K10">
        <f t="shared" si="0"/>
        <v>47</v>
      </c>
      <c r="L10" s="191">
        <v>47</v>
      </c>
    </row>
    <row r="11" spans="1:16" x14ac:dyDescent="0.25">
      <c r="A11">
        <v>7</v>
      </c>
      <c r="D11">
        <v>9</v>
      </c>
      <c r="E11">
        <v>6</v>
      </c>
      <c r="F11">
        <v>6</v>
      </c>
      <c r="G11">
        <v>8</v>
      </c>
      <c r="H11">
        <v>9</v>
      </c>
      <c r="I11">
        <v>8</v>
      </c>
      <c r="K11">
        <f t="shared" si="0"/>
        <v>46</v>
      </c>
      <c r="L11" s="191"/>
    </row>
    <row r="12" spans="1:16" x14ac:dyDescent="0.25">
      <c r="A12">
        <v>8</v>
      </c>
      <c r="D12">
        <v>5</v>
      </c>
      <c r="E12">
        <v>7</v>
      </c>
      <c r="F12">
        <v>8</v>
      </c>
      <c r="G12">
        <v>15</v>
      </c>
      <c r="H12">
        <v>11</v>
      </c>
      <c r="I12">
        <v>9</v>
      </c>
      <c r="K12">
        <f t="shared" si="0"/>
        <v>55</v>
      </c>
      <c r="L12" s="191"/>
    </row>
    <row r="13" spans="1:16" x14ac:dyDescent="0.25">
      <c r="A13" t="s">
        <v>112</v>
      </c>
      <c r="D13" s="191">
        <f t="shared" ref="D13:I13" si="1">SUM(D5:D12)</f>
        <v>54</v>
      </c>
      <c r="E13" s="191">
        <f t="shared" si="1"/>
        <v>58</v>
      </c>
      <c r="F13" s="191">
        <f t="shared" si="1"/>
        <v>57</v>
      </c>
      <c r="G13" s="191">
        <f t="shared" si="1"/>
        <v>74</v>
      </c>
      <c r="H13" s="191">
        <f t="shared" si="1"/>
        <v>64</v>
      </c>
      <c r="I13" s="191">
        <f t="shared" si="1"/>
        <v>59</v>
      </c>
      <c r="J13" s="191"/>
      <c r="K13" s="191">
        <f>SUM(K5:K12)</f>
        <v>366</v>
      </c>
      <c r="P13">
        <v>45</v>
      </c>
    </row>
    <row r="14" spans="1:16" x14ac:dyDescent="0.25">
      <c r="A14" t="s">
        <v>111</v>
      </c>
      <c r="D14" s="191"/>
      <c r="E14" s="191"/>
      <c r="F14" s="191"/>
      <c r="G14" s="191"/>
      <c r="H14" s="353">
        <v>65</v>
      </c>
      <c r="I14" s="353">
        <v>61</v>
      </c>
      <c r="J14" s="191"/>
      <c r="K14" s="191"/>
    </row>
    <row r="16" spans="1:16" x14ac:dyDescent="0.25">
      <c r="D16" t="s">
        <v>74</v>
      </c>
      <c r="K16" t="s">
        <v>113</v>
      </c>
      <c r="L16" s="191" t="s">
        <v>111</v>
      </c>
    </row>
    <row r="17" spans="1:15" x14ac:dyDescent="0.25">
      <c r="A17">
        <v>1</v>
      </c>
      <c r="D17">
        <v>8</v>
      </c>
      <c r="E17">
        <v>6</v>
      </c>
      <c r="F17">
        <v>7</v>
      </c>
      <c r="G17">
        <v>16</v>
      </c>
      <c r="H17">
        <v>7</v>
      </c>
      <c r="I17">
        <v>7</v>
      </c>
      <c r="K17">
        <f>SUM(D17:I17)</f>
        <v>51</v>
      </c>
      <c r="L17" s="191">
        <v>51</v>
      </c>
      <c r="O17">
        <v>51</v>
      </c>
    </row>
    <row r="18" spans="1:15" x14ac:dyDescent="0.25">
      <c r="A18">
        <v>2</v>
      </c>
      <c r="D18">
        <v>7</v>
      </c>
      <c r="E18">
        <v>7</v>
      </c>
      <c r="F18">
        <v>7</v>
      </c>
      <c r="G18">
        <v>7</v>
      </c>
      <c r="H18">
        <v>8</v>
      </c>
      <c r="I18">
        <v>9</v>
      </c>
      <c r="K18">
        <f t="shared" ref="K18:K24" si="2">SUM(D18:I18)</f>
        <v>45</v>
      </c>
      <c r="L18" s="191">
        <v>45</v>
      </c>
    </row>
    <row r="19" spans="1:15" x14ac:dyDescent="0.25">
      <c r="A19">
        <v>3</v>
      </c>
      <c r="D19">
        <v>7</v>
      </c>
      <c r="E19">
        <v>6</v>
      </c>
      <c r="F19">
        <v>6</v>
      </c>
      <c r="G19">
        <v>6</v>
      </c>
      <c r="H19">
        <v>5</v>
      </c>
      <c r="I19">
        <v>8</v>
      </c>
      <c r="K19">
        <f t="shared" si="2"/>
        <v>38</v>
      </c>
      <c r="L19" s="191">
        <v>38</v>
      </c>
      <c r="O19">
        <v>48</v>
      </c>
    </row>
    <row r="20" spans="1:15" x14ac:dyDescent="0.25">
      <c r="A20">
        <v>4</v>
      </c>
      <c r="D20">
        <v>7</v>
      </c>
      <c r="E20">
        <v>7</v>
      </c>
      <c r="F20">
        <v>14</v>
      </c>
      <c r="G20">
        <v>6</v>
      </c>
      <c r="H20">
        <v>8</v>
      </c>
      <c r="I20">
        <v>6</v>
      </c>
      <c r="K20">
        <f t="shared" si="2"/>
        <v>48</v>
      </c>
      <c r="L20" s="191">
        <v>48</v>
      </c>
    </row>
    <row r="21" spans="1:15" x14ac:dyDescent="0.25">
      <c r="A21">
        <v>5</v>
      </c>
      <c r="D21">
        <v>8</v>
      </c>
      <c r="E21">
        <v>9</v>
      </c>
      <c r="F21">
        <v>6</v>
      </c>
      <c r="G21">
        <v>8</v>
      </c>
      <c r="H21">
        <v>9</v>
      </c>
      <c r="I21">
        <v>8</v>
      </c>
      <c r="K21">
        <f t="shared" si="2"/>
        <v>48</v>
      </c>
      <c r="L21" s="191">
        <v>48</v>
      </c>
      <c r="O21">
        <v>55</v>
      </c>
    </row>
    <row r="22" spans="1:15" x14ac:dyDescent="0.25">
      <c r="A22">
        <v>6</v>
      </c>
      <c r="D22">
        <v>6</v>
      </c>
      <c r="E22">
        <v>9</v>
      </c>
      <c r="F22">
        <v>7</v>
      </c>
      <c r="G22">
        <v>12</v>
      </c>
      <c r="H22">
        <v>8</v>
      </c>
      <c r="I22">
        <v>13</v>
      </c>
      <c r="K22">
        <f t="shared" si="2"/>
        <v>55</v>
      </c>
      <c r="L22" s="191">
        <v>55</v>
      </c>
      <c r="O22">
        <v>48</v>
      </c>
    </row>
    <row r="23" spans="1:15" x14ac:dyDescent="0.25">
      <c r="A23">
        <v>7</v>
      </c>
      <c r="D23">
        <v>8</v>
      </c>
      <c r="E23">
        <v>6</v>
      </c>
      <c r="F23">
        <v>6</v>
      </c>
      <c r="G23">
        <v>7</v>
      </c>
      <c r="H23">
        <v>8</v>
      </c>
      <c r="I23">
        <v>9</v>
      </c>
      <c r="K23">
        <f t="shared" si="2"/>
        <v>44</v>
      </c>
      <c r="L23" s="191">
        <v>44</v>
      </c>
    </row>
    <row r="24" spans="1:15" x14ac:dyDescent="0.25">
      <c r="A24">
        <v>8</v>
      </c>
      <c r="D24">
        <v>6</v>
      </c>
      <c r="E24">
        <v>6</v>
      </c>
      <c r="F24">
        <v>9</v>
      </c>
      <c r="G24">
        <v>9</v>
      </c>
      <c r="H24">
        <v>7</v>
      </c>
      <c r="I24">
        <v>14</v>
      </c>
      <c r="K24">
        <f t="shared" si="2"/>
        <v>51</v>
      </c>
      <c r="L24" s="191">
        <v>51</v>
      </c>
    </row>
    <row r="25" spans="1:15" x14ac:dyDescent="0.25">
      <c r="A25" t="s">
        <v>112</v>
      </c>
      <c r="D25" s="191">
        <f t="shared" ref="D25:I25" si="3">SUM(D17:D24)</f>
        <v>57</v>
      </c>
      <c r="E25" s="191">
        <f t="shared" si="3"/>
        <v>56</v>
      </c>
      <c r="F25" s="191">
        <f t="shared" si="3"/>
        <v>62</v>
      </c>
      <c r="G25" s="191">
        <f t="shared" si="3"/>
        <v>71</v>
      </c>
      <c r="H25" s="191">
        <f t="shared" si="3"/>
        <v>60</v>
      </c>
      <c r="I25" s="191">
        <f t="shared" si="3"/>
        <v>74</v>
      </c>
      <c r="J25" s="191"/>
      <c r="K25" s="191">
        <f>SUM(K17:K24)</f>
        <v>380</v>
      </c>
      <c r="O25">
        <v>51</v>
      </c>
    </row>
    <row r="26" spans="1:15" x14ac:dyDescent="0.25">
      <c r="A26" t="s">
        <v>111</v>
      </c>
      <c r="G26" s="354">
        <v>68</v>
      </c>
      <c r="O26">
        <v>44</v>
      </c>
    </row>
    <row r="27" spans="1:15" x14ac:dyDescent="0.25">
      <c r="O27">
        <v>38</v>
      </c>
    </row>
    <row r="28" spans="1:15" x14ac:dyDescent="0.25">
      <c r="A28" t="s">
        <v>115</v>
      </c>
      <c r="D28">
        <f>+D25-D13</f>
        <v>3</v>
      </c>
      <c r="E28">
        <f t="shared" ref="E28:I28" si="4">+E25-E13</f>
        <v>-2</v>
      </c>
      <c r="F28">
        <f t="shared" si="4"/>
        <v>5</v>
      </c>
      <c r="G28" s="354">
        <f t="shared" si="4"/>
        <v>-3</v>
      </c>
      <c r="H28">
        <f t="shared" si="4"/>
        <v>-4</v>
      </c>
      <c r="I28">
        <f t="shared" si="4"/>
        <v>15</v>
      </c>
      <c r="K28">
        <f>SUM(D28:I28)</f>
        <v>14</v>
      </c>
    </row>
    <row r="29" spans="1:15" x14ac:dyDescent="0.25">
      <c r="A29" t="s">
        <v>111</v>
      </c>
      <c r="D29">
        <v>3</v>
      </c>
      <c r="E29">
        <v>-2</v>
      </c>
      <c r="F29">
        <v>5</v>
      </c>
      <c r="G29" s="354">
        <v>-6</v>
      </c>
      <c r="H29">
        <v>-5</v>
      </c>
      <c r="I29">
        <v>13</v>
      </c>
      <c r="K29">
        <f>SUM(D29:I29)</f>
        <v>8</v>
      </c>
    </row>
    <row r="32" spans="1:15" x14ac:dyDescent="0.25">
      <c r="M32">
        <f>+K25-K13</f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Statistics</vt:lpstr>
      <vt:lpstr>Trends</vt:lpstr>
      <vt:lpstr>Sheet1</vt:lpstr>
      <vt:lpstr>CUP</vt:lpstr>
      <vt:lpstr>LIST</vt:lpstr>
      <vt:lpstr>Scores!Print_Titles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</dc:creator>
  <cp:lastModifiedBy>Richard Atkin</cp:lastModifiedBy>
  <cp:lastPrinted>2017-10-26T11:28:40Z</cp:lastPrinted>
  <dcterms:created xsi:type="dcterms:W3CDTF">2017-06-08T14:06:52Z</dcterms:created>
  <dcterms:modified xsi:type="dcterms:W3CDTF">2019-02-07T17:54:03Z</dcterms:modified>
</cp:coreProperties>
</file>